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0" windowWidth="15315" windowHeight="11565" activeTab="0"/>
  </bookViews>
  <sheets>
    <sheet name="ADM" sheetId="1" r:id="rId1"/>
    <sheet name="Allow SF" sheetId="2" r:id="rId2"/>
    <sheet name="Current Capacity" sheetId="3" r:id="rId3"/>
    <sheet name="Projected Capacity" sheetId="4" r:id="rId4"/>
    <sheet name="Current ADM" sheetId="5" r:id="rId5"/>
    <sheet name="Worksheet 1" sheetId="6" r:id="rId6"/>
  </sheets>
  <externalReferences>
    <externalReference r:id="rId9"/>
    <externalReference r:id="rId10"/>
  </externalReferences>
  <definedNames>
    <definedName name="_xlfn.Z.TEST" hidden="1">#NAME?</definedName>
    <definedName name="a1fac">#REF!</definedName>
    <definedName name="a2fac">#REF!</definedName>
    <definedName name="a3fac">#REF!</definedName>
    <definedName name="aa">#REF!</definedName>
    <definedName name="adm" localSheetId="2">'Current Capacity'!#REF!</definedName>
    <definedName name="adm" localSheetId="3">'Projected Capacity'!#REF!</definedName>
    <definedName name="adm">'Allow SF'!$F$17</definedName>
    <definedName name="adm_supp" localSheetId="2">'Current Capacity'!$F$27</definedName>
    <definedName name="adm_supp" localSheetId="3">'Projected Capacity'!$F$27</definedName>
    <definedName name="adm_supp">'Allow SF'!$F$24</definedName>
    <definedName name="adm1" localSheetId="2">'Current Capacity'!#REF!</definedName>
    <definedName name="adm1" localSheetId="3">'Projected Capacity'!#REF!</definedName>
    <definedName name="adm1">'Allow SF'!$F$17</definedName>
    <definedName name="adm2" localSheetId="2">'Current Capacity'!#REF!</definedName>
    <definedName name="adm2" localSheetId="3">'Projected Capacity'!#REF!</definedName>
    <definedName name="adm2">'Allow SF'!$F$18</definedName>
    <definedName name="ADM712">'ADM'!$L$30</definedName>
    <definedName name="ADMSF" localSheetId="3">'Projected Capacity'!$I$22</definedName>
    <definedName name="ADMSF">'Current Capacity'!$I$22</definedName>
    <definedName name="b1fac">#REF!</definedName>
    <definedName name="b2fac">#REF!</definedName>
    <definedName name="b3fac">#REF!</definedName>
    <definedName name="Base">#REF!</definedName>
    <definedName name="bb">#REF!</definedName>
    <definedName name="BSF" localSheetId="2">'Current Capacity'!#REF!</definedName>
    <definedName name="BSF" localSheetId="3">'Projected Capacity'!#REF!</definedName>
    <definedName name="BSF">'Allow SF'!$J$26</definedName>
    <definedName name="cc">#REF!</definedName>
    <definedName name="ce1fac">#REF!</definedName>
    <definedName name="ce2fac">#REF!</definedName>
    <definedName name="ce3fac">#REF!</definedName>
    <definedName name="ceadm" localSheetId="3">'Projected Capacity'!$I$13</definedName>
    <definedName name="ceadm">'Current Capacity'!$I$13</definedName>
    <definedName name="csadm" localSheetId="3">'Projected Capacity'!$I$14</definedName>
    <definedName name="csadm">'Current Capacity'!$I$14</definedName>
    <definedName name="d1fac">#REF!</definedName>
    <definedName name="d2fac">#REF!</definedName>
    <definedName name="d3fac">#REF!</definedName>
    <definedName name="dd">#REF!</definedName>
    <definedName name="doe712">'ADM'!$N$30</definedName>
    <definedName name="doek6">'ADM'!$N$29</definedName>
    <definedName name="e1fac">#REF!</definedName>
    <definedName name="e2fac">#REF!</definedName>
    <definedName name="e3fac">#REF!</definedName>
    <definedName name="EADM" localSheetId="3">'Projected Capacity'!$I$18</definedName>
    <definedName name="EADM">'Current Capacity'!$I$18</definedName>
    <definedName name="ed_level">#REF!</definedName>
    <definedName name="ee">#REF!</definedName>
    <definedName name="ELEM">'ADM'!$K$32</definedName>
    <definedName name="EXSF" localSheetId="3">'Projected Capacity'!$I$15</definedName>
    <definedName name="EXSF">'Current Capacity'!$I$15</definedName>
    <definedName name="EXTRACT" localSheetId="4">'[1]students'!#REF!</definedName>
    <definedName name="EXTRACT">'[1]students'!#REF!</definedName>
    <definedName name="f1fac">#REF!</definedName>
    <definedName name="f2fac">#REF!</definedName>
    <definedName name="f3fac">#REF!</definedName>
    <definedName name="FC">'ADM'!$C$10</definedName>
    <definedName name="FCrate">'ADM'!$N$18</definedName>
    <definedName name="ff">#REF!</definedName>
    <definedName name="g1fac">#REF!</definedName>
    <definedName name="g2fac">#REF!</definedName>
    <definedName name="g3fac">#REF!</definedName>
    <definedName name="gg">#REF!</definedName>
    <definedName name="k6ADM">'ADM'!$L$29</definedName>
    <definedName name="Link">'ADM'!$Q$13</definedName>
    <definedName name="NAME">'ADM'!$C$7</definedName>
    <definedName name="_xlnm.Print_Area" localSheetId="0">'ADM'!$B$4:$O$36</definedName>
    <definedName name="_xlnm.Print_Area" localSheetId="1">'Allow SF'!$E$1:$J$34</definedName>
    <definedName name="_xlnm.Print_Area" localSheetId="2">'Current Capacity'!$E$1:$J$34</definedName>
    <definedName name="_xlnm.Print_Area" localSheetId="3">'Projected Capacity'!$E$1:$J$34</definedName>
    <definedName name="PROJNO">'ADM'!$C$8</definedName>
    <definedName name="range_data">#REF!</definedName>
    <definedName name="SADM" localSheetId="3">'Projected Capacity'!$I$19</definedName>
    <definedName name="SADM">'Current Capacity'!$I$19</definedName>
    <definedName name="SchoolTotal02">#REF!</definedName>
    <definedName name="SchoolTotal03">#REF!</definedName>
    <definedName name="SchoolTotal04">#REF!</definedName>
    <definedName name="SchoolTotal05">#REF!</definedName>
    <definedName name="SchoolTotal06">#REF!</definedName>
    <definedName name="SchoolTotal07">#REF!</definedName>
    <definedName name="SchoolTotal08">#REF!</definedName>
    <definedName name="SchoolTotal09">#REF!</definedName>
    <definedName name="SchoolTotal10">#REF!</definedName>
    <definedName name="SchoolTotal11">#REF!</definedName>
    <definedName name="SchoolTotal12">#REF!</definedName>
    <definedName name="SchoolTotal13">#REF!</definedName>
    <definedName name="SchoolTotal14">#REF!</definedName>
    <definedName name="SchoolTotal15">#REF!</definedName>
    <definedName name="SchoolTotal16">#REF!</definedName>
    <definedName name="SchoolTotal17">#REF!</definedName>
    <definedName name="SchoolTotal18">#REF!</definedName>
    <definedName name="SchoolTotal19">#REF!</definedName>
    <definedName name="SchoolTotal20">#REF!</definedName>
    <definedName name="SchoolTotal21">#REF!</definedName>
    <definedName name="SchoolTotal22">#REF!</definedName>
    <definedName name="SchoolTotal23">#REF!</definedName>
    <definedName name="SchoolTotal24">#REF!</definedName>
    <definedName name="SchoolTotal25">#REF!</definedName>
    <definedName name="SchoolTotal27">#REF!</definedName>
    <definedName name="SchoolTotal28">#REF!</definedName>
    <definedName name="SchoolTotal29">#REF!</definedName>
    <definedName name="SchoolTotal30">#REF!</definedName>
    <definedName name="SchoolTotal31">#REF!</definedName>
    <definedName name="SchoolTotal32">#REF!</definedName>
    <definedName name="SchoolTotal33">#REF!</definedName>
    <definedName name="SchoolTotal34">#REF!</definedName>
    <definedName name="SchoolTotal35">#REF!</definedName>
    <definedName name="SchoolTotal36">#REF!</definedName>
    <definedName name="SchoolTotal37">#REF!</definedName>
    <definedName name="SchoolTotal38">#REF!</definedName>
    <definedName name="SchoolTotal39">#REF!</definedName>
    <definedName name="SchoolTotal40">#REF!</definedName>
    <definedName name="SchoolTotal42">#REF!</definedName>
    <definedName name="SchoolTotal43">#REF!</definedName>
    <definedName name="SchoolTotal44">#REF!</definedName>
    <definedName name="SchoolTotal45">#REF!</definedName>
    <definedName name="SchoolTotal46">#REF!</definedName>
    <definedName name="SchoolTotal47">#REF!</definedName>
    <definedName name="SchoolTotal48">#REF!</definedName>
    <definedName name="SchoolTotal49">#REF!</definedName>
    <definedName name="SchoolTotal50">#REF!</definedName>
    <definedName name="SchoolTotal51">#REF!</definedName>
    <definedName name="SchoolTotal52">#REF!</definedName>
    <definedName name="SchoolTotal53">#REF!</definedName>
    <definedName name="SchoolTotal54">#REF!</definedName>
    <definedName name="SchoolTotal55">#REF!</definedName>
    <definedName name="SchoolTotal56">#REF!</definedName>
    <definedName name="SchoolTotal98">#REF!</definedName>
    <definedName name="SchoolTotal99">#REF!</definedName>
    <definedName name="SchoolType" localSheetId="4">'ADM'!#REF!</definedName>
    <definedName name="SchoolType">'ADM'!#REF!</definedName>
    <definedName name="SD">'ADM'!$C$6</definedName>
    <definedName name="sd712">'ADM'!$N$27</definedName>
    <definedName name="sdk6">'ADM'!$N$26</definedName>
    <definedName name="SEC">'ADM'!$K$33</definedName>
    <definedName name="solver_adj" localSheetId="2" hidden="1">'Current Capacity'!$I$18</definedName>
    <definedName name="solver_adj" localSheetId="3" hidden="1">'Projected Capacity'!$I$18</definedName>
    <definedName name="solver_cvg" localSheetId="2" hidden="1">0.0001</definedName>
    <definedName name="solver_cvg" localSheetId="3" hidden="1">0.0001</definedName>
    <definedName name="solver_drv" localSheetId="2" hidden="1">1</definedName>
    <definedName name="solver_drv" localSheetId="3" hidden="1">1</definedName>
    <definedName name="solver_est" localSheetId="2" hidden="1">1</definedName>
    <definedName name="solver_est" localSheetId="3" hidden="1">1</definedName>
    <definedName name="solver_itr" localSheetId="2" hidden="1">100</definedName>
    <definedName name="solver_itr" localSheetId="3" hidden="1">100</definedName>
    <definedName name="solver_lhs1" localSheetId="2" hidden="1">'Current Capacity'!$I$15</definedName>
    <definedName name="solver_lhs1" localSheetId="3" hidden="1">'Projected Capacity'!$I$15</definedName>
    <definedName name="solver_lhs2" localSheetId="2" hidden="1">'Current Capacity'!$I$19</definedName>
    <definedName name="solver_lhs2" localSheetId="3" hidden="1">'Projected Capacity'!$I$19</definedName>
    <definedName name="solver_lhs3" localSheetId="2" hidden="1">'Current Capacity'!$I$18</definedName>
    <definedName name="solver_lhs3" localSheetId="3" hidden="1">'Projected Capacity'!$I$18</definedName>
    <definedName name="solver_lin" localSheetId="2" hidden="1">2</definedName>
    <definedName name="solver_lin" localSheetId="3" hidden="1">2</definedName>
    <definedName name="solver_neg" localSheetId="2" hidden="1">2</definedName>
    <definedName name="solver_neg" localSheetId="3" hidden="1">2</definedName>
    <definedName name="solver_num" localSheetId="2" hidden="1">3</definedName>
    <definedName name="solver_num" localSheetId="3" hidden="1">3</definedName>
    <definedName name="solver_nwt" localSheetId="2" hidden="1">1</definedName>
    <definedName name="solver_nwt" localSheetId="3" hidden="1">1</definedName>
    <definedName name="solver_opt" localSheetId="2" hidden="1">'Current Capacity'!$I$22</definedName>
    <definedName name="solver_opt" localSheetId="3" hidden="1">'Projected Capacity'!$I$22</definedName>
    <definedName name="solver_pre" localSheetId="2" hidden="1">0.000001</definedName>
    <definedName name="solver_pre" localSheetId="3" hidden="1">0.000001</definedName>
    <definedName name="solver_rel1" localSheetId="2" hidden="1">2</definedName>
    <definedName name="solver_rel1" localSheetId="3" hidden="1">2</definedName>
    <definedName name="solver_rel2" localSheetId="2" hidden="1">3</definedName>
    <definedName name="solver_rel2" localSheetId="3" hidden="1">3</definedName>
    <definedName name="solver_rel3" localSheetId="2" hidden="1">3</definedName>
    <definedName name="solver_rel3" localSheetId="3" hidden="1">3</definedName>
    <definedName name="solver_rhs1" localSheetId="2" hidden="1">'Current Capacity'!$I$22</definedName>
    <definedName name="solver_rhs1" localSheetId="3" hidden="1">'Projected Capacity'!$I$22</definedName>
    <definedName name="solver_rhs2" localSheetId="2" hidden="1">0</definedName>
    <definedName name="solver_rhs2" localSheetId="3" hidden="1">0</definedName>
    <definedName name="solver_rhs3" localSheetId="2" hidden="1">0</definedName>
    <definedName name="solver_rhs3" localSheetId="3" hidden="1">0</definedName>
    <definedName name="solver_scl" localSheetId="2" hidden="1">2</definedName>
    <definedName name="solver_scl" localSheetId="3" hidden="1">2</definedName>
    <definedName name="solver_sho" localSheetId="2" hidden="1">2</definedName>
    <definedName name="solver_sho" localSheetId="3" hidden="1">2</definedName>
    <definedName name="solver_tim" localSheetId="2" hidden="1">100</definedName>
    <definedName name="solver_tim" localSheetId="3" hidden="1">100</definedName>
    <definedName name="solver_tol" localSheetId="2" hidden="1">0.05</definedName>
    <definedName name="solver_tol" localSheetId="3" hidden="1">0.05</definedName>
    <definedName name="solver_typ" localSheetId="2" hidden="1">1</definedName>
    <definedName name="solver_typ" localSheetId="3" hidden="1">1</definedName>
    <definedName name="solver_val" localSheetId="2" hidden="1">0</definedName>
    <definedName name="solver_val" localSheetId="3" hidden="1">0</definedName>
    <definedName name="Static1">'[2]Factors'!$D$9</definedName>
    <definedName name="TYPE" localSheetId="3">'Projected Capacity'!$H$7</definedName>
    <definedName name="TYPE">'Current Capacity'!$H$7</definedName>
  </definedNames>
  <calcPr fullCalcOnLoad="1"/>
</workbook>
</file>

<file path=xl/comments1.xml><?xml version="1.0" encoding="utf-8"?>
<comments xmlns="http://schemas.openxmlformats.org/spreadsheetml/2006/main">
  <authors>
    <author>mhlobaugh</author>
    <author>sreynold</author>
    <author>Weed, Lori (EED)</author>
  </authors>
  <commentList>
    <comment ref="Q282" authorId="0">
      <text>
        <r>
          <rPr>
            <b/>
            <sz val="9"/>
            <rFont val="Tahoma"/>
            <family val="2"/>
          </rPr>
          <t>mhlobaugh:</t>
        </r>
        <r>
          <rPr>
            <sz val="9"/>
            <rFont val="Tahoma"/>
            <family val="2"/>
          </rPr>
          <t xml:space="preserve">
Spelling of Malemute was changed to Malimiut per BSSD request 1/10/2011.</t>
        </r>
      </text>
    </comment>
    <comment ref="Q311" authorId="1">
      <text>
        <r>
          <rPr>
            <sz val="10"/>
            <rFont val="Times New Roman"/>
            <family val="1"/>
          </rPr>
          <t>K-8.  9-12 goes on to Seward H.S.</t>
        </r>
        <r>
          <rPr>
            <sz val="8"/>
            <rFont val="Tahoma"/>
            <family val="2"/>
          </rPr>
          <t xml:space="preserve">
</t>
        </r>
      </text>
    </comment>
    <comment ref="Q470" authorId="0">
      <text>
        <r>
          <rPr>
            <b/>
            <sz val="8"/>
            <rFont val="Tahoma"/>
            <family val="2"/>
          </rPr>
          <t>mhlobaugh:</t>
        </r>
        <r>
          <rPr>
            <sz val="8"/>
            <rFont val="Tahoma"/>
            <family val="2"/>
          </rPr>
          <t xml:space="preserve">
Several Alt Schools report to Whaley. See note below. And proof total in column E</t>
        </r>
      </text>
    </comment>
    <comment ref="Q418" authorId="2">
      <text>
        <r>
          <rPr>
            <b/>
            <sz val="9"/>
            <rFont val="Tahoma"/>
            <family val="2"/>
          </rPr>
          <t>Weed, Lori (EED):</t>
        </r>
        <r>
          <rPr>
            <sz val="9"/>
            <rFont val="Tahoma"/>
            <family val="2"/>
          </rPr>
          <t xml:space="preserve">
Houses Soldotna Prep School (9th grade) and River City Academy (grades 7-12)</t>
        </r>
      </text>
    </comment>
  </commentList>
</comments>
</file>

<file path=xl/comments5.xml><?xml version="1.0" encoding="utf-8"?>
<comments xmlns="http://schemas.openxmlformats.org/spreadsheetml/2006/main">
  <authors>
    <author>Weed, Lori (EED)</author>
  </authors>
  <commentList>
    <comment ref="E442" authorId="0">
      <text>
        <r>
          <rPr>
            <b/>
            <sz val="9"/>
            <rFont val="Tahoma"/>
            <family val="2"/>
          </rPr>
          <t>Weed, Lori (EED):</t>
        </r>
        <r>
          <rPr>
            <sz val="9"/>
            <rFont val="Tahoma"/>
            <family val="2"/>
          </rPr>
          <t xml:space="preserve">
FY17 Foundation ADM Count reduced to 425 for funding purposes, however ADM is 450.75</t>
        </r>
      </text>
    </comment>
  </commentList>
</comments>
</file>

<file path=xl/comments6.xml><?xml version="1.0" encoding="utf-8"?>
<comments xmlns="http://schemas.openxmlformats.org/spreadsheetml/2006/main">
  <authors>
    <author>ncoffee</author>
    <author>Tim Mearig</author>
    <author>Nathan Coffee</author>
    <author>Kim Andrews</author>
    <author>Weed, Lori (EED)</author>
  </authors>
  <commentList>
    <comment ref="D26" authorId="0">
      <text>
        <r>
          <rPr>
            <b/>
            <sz val="8"/>
            <rFont val="Tahoma"/>
            <family val="2"/>
          </rPr>
          <t>ncoffee:</t>
        </r>
        <r>
          <rPr>
            <sz val="8"/>
            <rFont val="Tahoma"/>
            <family val="2"/>
          </rPr>
          <t xml:space="preserve">
Includes Elemdorf and Fort Richardson</t>
        </r>
      </text>
    </comment>
    <comment ref="E26" authorId="0">
      <text>
        <r>
          <rPr>
            <b/>
            <sz val="8"/>
            <rFont val="Tahoma"/>
            <family val="2"/>
          </rPr>
          <t>ncoffee:</t>
        </r>
        <r>
          <rPr>
            <sz val="8"/>
            <rFont val="Tahoma"/>
            <family val="2"/>
          </rPr>
          <t xml:space="preserve">
Includes Elemdorf and Fort Richardson</t>
        </r>
      </text>
    </comment>
    <comment ref="F26" authorId="0">
      <text>
        <r>
          <rPr>
            <b/>
            <sz val="8"/>
            <rFont val="Tahoma"/>
            <family val="2"/>
          </rPr>
          <t>ncoffee:</t>
        </r>
        <r>
          <rPr>
            <sz val="8"/>
            <rFont val="Tahoma"/>
            <family val="2"/>
          </rPr>
          <t xml:space="preserve">
Includes Elemdorf and Fort Richardson</t>
        </r>
      </text>
    </comment>
    <comment ref="G26" authorId="0">
      <text>
        <r>
          <rPr>
            <b/>
            <sz val="8"/>
            <rFont val="Tahoma"/>
            <family val="2"/>
          </rPr>
          <t>ncoffee:</t>
        </r>
        <r>
          <rPr>
            <sz val="8"/>
            <rFont val="Tahoma"/>
            <family val="2"/>
          </rPr>
          <t xml:space="preserve">
Includes Elemdorf and Fort Richardson</t>
        </r>
      </text>
    </comment>
    <comment ref="H26" authorId="0">
      <text>
        <r>
          <rPr>
            <b/>
            <sz val="8"/>
            <rFont val="Tahoma"/>
            <family val="2"/>
          </rPr>
          <t>ncoffee:</t>
        </r>
        <r>
          <rPr>
            <sz val="8"/>
            <rFont val="Tahoma"/>
            <family val="2"/>
          </rPr>
          <t xml:space="preserve">
Includes Elemdorf and Fort Richardson</t>
        </r>
      </text>
    </comment>
    <comment ref="I26" authorId="0">
      <text>
        <r>
          <rPr>
            <b/>
            <sz val="8"/>
            <rFont val="Tahoma"/>
            <family val="2"/>
          </rPr>
          <t>ncoffee:</t>
        </r>
        <r>
          <rPr>
            <sz val="8"/>
            <rFont val="Tahoma"/>
            <family val="2"/>
          </rPr>
          <t xml:space="preserve">
Includes Elemdorf and Fort Richardson</t>
        </r>
      </text>
    </comment>
    <comment ref="J26" authorId="0">
      <text>
        <r>
          <rPr>
            <b/>
            <sz val="8"/>
            <rFont val="Tahoma"/>
            <family val="2"/>
          </rPr>
          <t>ncoffee:</t>
        </r>
        <r>
          <rPr>
            <sz val="8"/>
            <rFont val="Tahoma"/>
            <family val="2"/>
          </rPr>
          <t xml:space="preserve">
Includes Elemdorf and Fort Richardson</t>
        </r>
      </text>
    </comment>
    <comment ref="K26" authorId="0">
      <text>
        <r>
          <rPr>
            <b/>
            <sz val="8"/>
            <rFont val="Tahoma"/>
            <family val="2"/>
          </rPr>
          <t>ncoffee:</t>
        </r>
        <r>
          <rPr>
            <sz val="8"/>
            <rFont val="Tahoma"/>
            <family val="2"/>
          </rPr>
          <t xml:space="preserve">
Includes Elemdorf and Fort Richardson</t>
        </r>
      </text>
    </comment>
    <comment ref="Q27" authorId="0">
      <text>
        <r>
          <rPr>
            <b/>
            <sz val="8"/>
            <rFont val="Tahoma"/>
            <family val="2"/>
          </rPr>
          <t>ncoffee:</t>
        </r>
        <r>
          <rPr>
            <sz val="8"/>
            <rFont val="Tahoma"/>
            <family val="2"/>
          </rPr>
          <t xml:space="preserve">
Eagle River and Anchorage attendance areas are combined as of FY2004</t>
        </r>
      </text>
    </comment>
    <comment ref="L75" authorId="1">
      <text>
        <r>
          <rPr>
            <b/>
            <sz val="8"/>
            <rFont val="Tahoma"/>
            <family val="2"/>
          </rPr>
          <t>Tim Mearig:</t>
        </r>
        <r>
          <rPr>
            <sz val="8"/>
            <rFont val="Tahoma"/>
            <family val="2"/>
          </rPr>
          <t xml:space="preserve">
last year as a separate funding community</t>
        </r>
      </text>
    </comment>
    <comment ref="L76" authorId="1">
      <text>
        <r>
          <rPr>
            <b/>
            <sz val="8"/>
            <rFont val="Tahoma"/>
            <family val="2"/>
          </rPr>
          <t>Tim Mearig:</t>
        </r>
        <r>
          <rPr>
            <sz val="8"/>
            <rFont val="Tahoma"/>
            <family val="2"/>
          </rPr>
          <t xml:space="preserve">
last year as a separate funding community</t>
        </r>
      </text>
    </comment>
    <comment ref="M77" authorId="1">
      <text>
        <r>
          <rPr>
            <b/>
            <sz val="8"/>
            <rFont val="Tahoma"/>
            <family val="2"/>
          </rPr>
          <t>Tim Mearig:</t>
        </r>
        <r>
          <rPr>
            <sz val="8"/>
            <rFont val="Tahoma"/>
            <family val="2"/>
          </rPr>
          <t xml:space="preserve">
includes Gakona &amp; Copper Center as of 2002</t>
        </r>
      </text>
    </comment>
    <comment ref="L79" authorId="2">
      <text>
        <r>
          <rPr>
            <b/>
            <sz val="8"/>
            <rFont val="Tahoma"/>
            <family val="2"/>
          </rPr>
          <t>Nathan Coffee:</t>
        </r>
        <r>
          <rPr>
            <sz val="8"/>
            <rFont val="Tahoma"/>
            <family val="2"/>
          </rPr>
          <t xml:space="preserve">
Assumed Lottie Sparks to be Nelchina</t>
        </r>
      </text>
    </comment>
    <comment ref="M79" authorId="2">
      <text>
        <r>
          <rPr>
            <b/>
            <sz val="8"/>
            <rFont val="Tahoma"/>
            <family val="2"/>
          </rPr>
          <t>Nathan Coffee:</t>
        </r>
        <r>
          <rPr>
            <sz val="8"/>
            <rFont val="Tahoma"/>
            <family val="2"/>
          </rPr>
          <t xml:space="preserve">
Assumed Lottie Sparks to be Nelchina</t>
        </r>
      </text>
    </comment>
    <comment ref="N79" authorId="2">
      <text>
        <r>
          <rPr>
            <b/>
            <sz val="8"/>
            <rFont val="Tahoma"/>
            <family val="2"/>
          </rPr>
          <t>Nathan Coffee:</t>
        </r>
        <r>
          <rPr>
            <sz val="8"/>
            <rFont val="Tahoma"/>
            <family val="2"/>
          </rPr>
          <t xml:space="preserve">
Assumed Lottie Sparks to be Nelchina</t>
        </r>
      </text>
    </comment>
    <comment ref="O79" authorId="2">
      <text>
        <r>
          <rPr>
            <b/>
            <sz val="8"/>
            <rFont val="Tahoma"/>
            <family val="2"/>
          </rPr>
          <t>Nathan Coffee:</t>
        </r>
        <r>
          <rPr>
            <sz val="8"/>
            <rFont val="Tahoma"/>
            <family val="2"/>
          </rPr>
          <t xml:space="preserve">
Assumed Lottie Sparks to be Nelchina</t>
        </r>
      </text>
    </comment>
    <comment ref="M85" authorId="0">
      <text>
        <r>
          <rPr>
            <b/>
            <sz val="8"/>
            <rFont val="Tahoma"/>
            <family val="2"/>
          </rPr>
          <t>ncoffee:</t>
        </r>
        <r>
          <rPr>
            <sz val="8"/>
            <rFont val="Tahoma"/>
            <family val="2"/>
          </rPr>
          <t xml:space="preserve">
Include 27 Alternative HS students</t>
        </r>
      </text>
    </comment>
    <comment ref="N85" authorId="0">
      <text>
        <r>
          <rPr>
            <b/>
            <sz val="8"/>
            <rFont val="Tahoma"/>
            <family val="2"/>
          </rPr>
          <t>ncoffee:</t>
        </r>
        <r>
          <rPr>
            <sz val="8"/>
            <rFont val="Tahoma"/>
            <family val="2"/>
          </rPr>
          <t xml:space="preserve">
Includes Alternative HS students</t>
        </r>
      </text>
    </comment>
    <comment ref="O85" authorId="0">
      <text>
        <r>
          <rPr>
            <b/>
            <sz val="8"/>
            <rFont val="Tahoma"/>
            <family val="2"/>
          </rPr>
          <t>ncoffee:</t>
        </r>
        <r>
          <rPr>
            <sz val="8"/>
            <rFont val="Tahoma"/>
            <family val="2"/>
          </rPr>
          <t xml:space="preserve">
Alternative HS appears to have been discontinued.</t>
        </r>
      </text>
    </comment>
    <comment ref="P85" authorId="0">
      <text>
        <r>
          <rPr>
            <b/>
            <sz val="8"/>
            <rFont val="Tahoma"/>
            <family val="2"/>
          </rPr>
          <t>ncoffee:</t>
        </r>
        <r>
          <rPr>
            <sz val="8"/>
            <rFont val="Tahoma"/>
            <family val="2"/>
          </rPr>
          <t xml:space="preserve">
Alternative HS appears to have been discontinued.</t>
        </r>
      </text>
    </comment>
    <comment ref="M87" authorId="0">
      <text>
        <r>
          <rPr>
            <b/>
            <sz val="8"/>
            <rFont val="Tahoma"/>
            <family val="2"/>
          </rPr>
          <t>ncoffee:</t>
        </r>
        <r>
          <rPr>
            <sz val="8"/>
            <rFont val="Tahoma"/>
            <family val="2"/>
          </rPr>
          <t xml:space="preserve">
Includes 53.65 Alternative School students</t>
        </r>
      </text>
    </comment>
    <comment ref="N87" authorId="0">
      <text>
        <r>
          <rPr>
            <b/>
            <sz val="8"/>
            <rFont val="Tahoma"/>
            <family val="2"/>
          </rPr>
          <t>ncoffee:</t>
        </r>
        <r>
          <rPr>
            <sz val="8"/>
            <rFont val="Tahoma"/>
            <family val="2"/>
          </rPr>
          <t xml:space="preserve">
Includes Alternative School students</t>
        </r>
      </text>
    </comment>
    <comment ref="O87" authorId="0">
      <text>
        <r>
          <rPr>
            <b/>
            <sz val="8"/>
            <rFont val="Tahoma"/>
            <family val="2"/>
          </rPr>
          <t>ncoffee:</t>
        </r>
        <r>
          <rPr>
            <sz val="8"/>
            <rFont val="Tahoma"/>
            <family val="2"/>
          </rPr>
          <t xml:space="preserve">
Includes 36.1 Alternative School students</t>
        </r>
      </text>
    </comment>
    <comment ref="P87" authorId="0">
      <text>
        <r>
          <rPr>
            <b/>
            <sz val="8"/>
            <rFont val="Tahoma"/>
            <family val="2"/>
          </rPr>
          <t>ncoffee:</t>
        </r>
        <r>
          <rPr>
            <sz val="8"/>
            <rFont val="Tahoma"/>
            <family val="2"/>
          </rPr>
          <t xml:space="preserve">
Includes 36.1 Alternative School students</t>
        </r>
      </text>
    </comment>
    <comment ref="Q87" authorId="0">
      <text>
        <r>
          <rPr>
            <b/>
            <sz val="8"/>
            <rFont val="Tahoma"/>
            <family val="2"/>
          </rPr>
          <t>ncoffee:</t>
        </r>
        <r>
          <rPr>
            <sz val="8"/>
            <rFont val="Tahoma"/>
            <family val="2"/>
          </rPr>
          <t xml:space="preserve">
Includes 27.75 New Horizons HS students</t>
        </r>
      </text>
    </comment>
    <comment ref="L97" authorId="2">
      <text>
        <r>
          <rPr>
            <b/>
            <sz val="8"/>
            <rFont val="Tahoma"/>
            <family val="2"/>
          </rPr>
          <t>Nathan Coffee:</t>
        </r>
        <r>
          <rPr>
            <sz val="8"/>
            <rFont val="Tahoma"/>
            <family val="2"/>
          </rPr>
          <t xml:space="preserve">
Excludes Ft. Wainwright</t>
        </r>
      </text>
    </comment>
    <comment ref="M97" authorId="0">
      <text>
        <r>
          <rPr>
            <b/>
            <sz val="8"/>
            <rFont val="Tahoma"/>
            <family val="2"/>
          </rPr>
          <t>ncoffee:</t>
        </r>
        <r>
          <rPr>
            <sz val="8"/>
            <rFont val="Tahoma"/>
            <family val="2"/>
          </rPr>
          <t xml:space="preserve">
Excludes Ft. Wainwright</t>
        </r>
      </text>
    </comment>
    <comment ref="N97" authorId="0">
      <text>
        <r>
          <rPr>
            <b/>
            <sz val="8"/>
            <rFont val="Tahoma"/>
            <family val="2"/>
          </rPr>
          <t>ncoffee:</t>
        </r>
        <r>
          <rPr>
            <sz val="8"/>
            <rFont val="Tahoma"/>
            <family val="2"/>
          </rPr>
          <t xml:space="preserve">
Excludes Ft. Wainwright</t>
        </r>
      </text>
    </comment>
    <comment ref="O97" authorId="0">
      <text>
        <r>
          <rPr>
            <b/>
            <sz val="8"/>
            <rFont val="Tahoma"/>
            <family val="2"/>
          </rPr>
          <t>ncoffee:</t>
        </r>
        <r>
          <rPr>
            <sz val="8"/>
            <rFont val="Tahoma"/>
            <family val="2"/>
          </rPr>
          <t xml:space="preserve">
Excludes Ft. Wainwright</t>
        </r>
      </text>
    </comment>
    <comment ref="P97" authorId="0">
      <text>
        <r>
          <rPr>
            <b/>
            <sz val="8"/>
            <rFont val="Tahoma"/>
            <family val="2"/>
          </rPr>
          <t>ncoffee:</t>
        </r>
        <r>
          <rPr>
            <sz val="8"/>
            <rFont val="Tahoma"/>
            <family val="2"/>
          </rPr>
          <t xml:space="preserve">
Excludes Ft. Wainwright</t>
        </r>
      </text>
    </comment>
    <comment ref="Q97" authorId="0">
      <text>
        <r>
          <rPr>
            <b/>
            <sz val="8"/>
            <rFont val="Tahoma"/>
            <family val="2"/>
          </rPr>
          <t>ncoffee:</t>
        </r>
        <r>
          <rPr>
            <sz val="8"/>
            <rFont val="Tahoma"/>
            <family val="2"/>
          </rPr>
          <t xml:space="preserve">
Excludes Ft. Wainwright
</t>
        </r>
      </text>
    </comment>
    <comment ref="Q104" authorId="0">
      <text>
        <r>
          <rPr>
            <b/>
            <sz val="8"/>
            <rFont val="Tahoma"/>
            <family val="2"/>
          </rPr>
          <t>ncoffee:</t>
        </r>
        <r>
          <rPr>
            <sz val="8"/>
            <rFont val="Tahoma"/>
            <family val="2"/>
          </rPr>
          <t xml:space="preserve">
Project Ed Res HS converted from charter to regular school and is included.</t>
        </r>
      </text>
    </comment>
    <comment ref="M122" authorId="0">
      <text>
        <r>
          <rPr>
            <b/>
            <sz val="8"/>
            <rFont val="Tahoma"/>
            <family val="2"/>
          </rPr>
          <t>ncoffee:</t>
        </r>
        <r>
          <rPr>
            <sz val="8"/>
            <rFont val="Tahoma"/>
            <family val="2"/>
          </rPr>
          <t xml:space="preserve">
Takotna charter school house 8 additional students that are excluded from this total.</t>
        </r>
      </text>
    </comment>
    <comment ref="N122" authorId="0">
      <text>
        <r>
          <rPr>
            <b/>
            <sz val="8"/>
            <rFont val="Tahoma"/>
            <family val="2"/>
          </rPr>
          <t>ncoffee:</t>
        </r>
        <r>
          <rPr>
            <sz val="8"/>
            <rFont val="Tahoma"/>
            <family val="2"/>
          </rPr>
          <t xml:space="preserve">
Takotna charter school students are excluded from this total.</t>
        </r>
      </text>
    </comment>
    <comment ref="O122" authorId="0">
      <text>
        <r>
          <rPr>
            <b/>
            <sz val="8"/>
            <rFont val="Tahoma"/>
            <family val="2"/>
          </rPr>
          <t>ncoffee:</t>
        </r>
        <r>
          <rPr>
            <sz val="8"/>
            <rFont val="Tahoma"/>
            <family val="2"/>
          </rPr>
          <t xml:space="preserve">
Takotna charter school students are excluded from this total.</t>
        </r>
      </text>
    </comment>
    <comment ref="P122" authorId="0">
      <text>
        <r>
          <rPr>
            <b/>
            <sz val="8"/>
            <rFont val="Tahoma"/>
            <family val="2"/>
          </rPr>
          <t>ncoffee:</t>
        </r>
        <r>
          <rPr>
            <sz val="8"/>
            <rFont val="Tahoma"/>
            <family val="2"/>
          </rPr>
          <t xml:space="preserve">
Takotna charter school students are excluded from this total.</t>
        </r>
      </text>
    </comment>
    <comment ref="L125" authorId="2">
      <text>
        <r>
          <rPr>
            <b/>
            <sz val="8"/>
            <rFont val="Tahoma"/>
            <family val="2"/>
          </rPr>
          <t>Nathan Coffee:</t>
        </r>
        <r>
          <rPr>
            <sz val="8"/>
            <rFont val="Tahoma"/>
            <family val="2"/>
          </rPr>
          <t xml:space="preserve">
Includes 16.6 ADM from Johnson Center</t>
        </r>
      </text>
    </comment>
    <comment ref="L139" authorId="2">
      <text>
        <r>
          <rPr>
            <b/>
            <sz val="8"/>
            <rFont val="Tahoma"/>
            <family val="2"/>
          </rPr>
          <t>Nathan Coffee:</t>
        </r>
        <r>
          <rPr>
            <sz val="8"/>
            <rFont val="Tahoma"/>
            <family val="2"/>
          </rPr>
          <t xml:space="preserve">
Includes 30.05 ADM from Kenai Alternative School</t>
        </r>
      </text>
    </comment>
    <comment ref="Q199" authorId="0">
      <text>
        <r>
          <rPr>
            <b/>
            <sz val="8"/>
            <rFont val="Tahoma"/>
            <family val="2"/>
          </rPr>
          <t>ncoffee:</t>
        </r>
        <r>
          <rPr>
            <sz val="8"/>
            <rFont val="Tahoma"/>
            <family val="2"/>
          </rPr>
          <t xml:space="preserve">
Includes Bethel Alternative Boarding School</t>
        </r>
      </text>
    </comment>
    <comment ref="L236" authorId="2">
      <text>
        <r>
          <rPr>
            <b/>
            <sz val="8"/>
            <rFont val="Tahoma"/>
            <family val="2"/>
          </rPr>
          <t>Nathan Coffee:</t>
        </r>
        <r>
          <rPr>
            <sz val="8"/>
            <rFont val="Tahoma"/>
            <family val="2"/>
          </rPr>
          <t xml:space="preserve">
Exludes 91.8 ADM from Midnight Sun Charter School.  Was this previously counted?</t>
        </r>
      </text>
    </comment>
    <comment ref="C239" authorId="0">
      <text>
        <r>
          <rPr>
            <b/>
            <sz val="8"/>
            <rFont val="Tahoma"/>
            <family val="2"/>
          </rPr>
          <t>ncoffee:</t>
        </r>
        <r>
          <rPr>
            <sz val="8"/>
            <rFont val="Tahoma"/>
            <family val="2"/>
          </rPr>
          <t xml:space="preserve">
Previously called
"CHICKALOON"</t>
        </r>
      </text>
    </comment>
    <comment ref="L253" authorId="2">
      <text>
        <r>
          <rPr>
            <b/>
            <sz val="8"/>
            <rFont val="Tahoma"/>
            <family val="2"/>
          </rPr>
          <t>Nathan Coffee:</t>
        </r>
        <r>
          <rPr>
            <sz val="8"/>
            <rFont val="Tahoma"/>
            <family val="2"/>
          </rPr>
          <t xml:space="preserve">
Includes 18.5 ADM from Anvil Academy and 21.15 from Alternative High School</t>
        </r>
      </text>
    </comment>
    <comment ref="M253" authorId="2">
      <text>
        <r>
          <rPr>
            <b/>
            <sz val="8"/>
            <rFont val="Tahoma"/>
            <family val="2"/>
          </rPr>
          <t>Nathan Coffee:</t>
        </r>
        <r>
          <rPr>
            <sz val="8"/>
            <rFont val="Tahoma"/>
            <family val="2"/>
          </rPr>
          <t xml:space="preserve">
Includes 21.6 ADM from Anvil Academy and 27 from Alternative High School</t>
        </r>
      </text>
    </comment>
    <comment ref="N253" authorId="0">
      <text>
        <r>
          <rPr>
            <b/>
            <sz val="8"/>
            <rFont val="Tahoma"/>
            <family val="2"/>
          </rPr>
          <t>ncoffee:</t>
        </r>
        <r>
          <rPr>
            <sz val="8"/>
            <rFont val="Tahoma"/>
            <family val="2"/>
          </rPr>
          <t xml:space="preserve">
Includes Anvil Academy and Alternative HS students</t>
        </r>
      </text>
    </comment>
    <comment ref="O253" authorId="0">
      <text>
        <r>
          <rPr>
            <b/>
            <sz val="8"/>
            <rFont val="Tahoma"/>
            <family val="2"/>
          </rPr>
          <t>ncoffee:</t>
        </r>
        <r>
          <rPr>
            <sz val="8"/>
            <rFont val="Tahoma"/>
            <family val="2"/>
          </rPr>
          <t xml:space="preserve">
Includes Anvil Academy and Alternative HS students</t>
        </r>
      </text>
    </comment>
    <comment ref="P253" authorId="0">
      <text>
        <r>
          <rPr>
            <b/>
            <sz val="8"/>
            <rFont val="Tahoma"/>
            <family val="2"/>
          </rPr>
          <t>ncoffee:</t>
        </r>
        <r>
          <rPr>
            <sz val="8"/>
            <rFont val="Tahoma"/>
            <family val="2"/>
          </rPr>
          <t xml:space="preserve">
Includes Anvil Academy 
students</t>
        </r>
      </text>
    </comment>
    <comment ref="Q253" authorId="0">
      <text>
        <r>
          <rPr>
            <b/>
            <sz val="8"/>
            <rFont val="Tahoma"/>
            <family val="2"/>
          </rPr>
          <t>ncoffee:</t>
        </r>
        <r>
          <rPr>
            <sz val="8"/>
            <rFont val="Tahoma"/>
            <family val="2"/>
          </rPr>
          <t xml:space="preserve">
Includes Anvil Science Academy</t>
        </r>
      </text>
    </comment>
    <comment ref="X32" authorId="3">
      <text>
        <r>
          <rPr>
            <b/>
            <sz val="10"/>
            <rFont val="Tahoma"/>
            <family val="2"/>
          </rPr>
          <t>Kim Andrews:</t>
        </r>
        <r>
          <rPr>
            <sz val="10"/>
            <rFont val="Tahoma"/>
            <family val="2"/>
          </rPr>
          <t xml:space="preserve">
Elemendorf and Fort Richardson combined in FY11 as JBER (Joint Base Elmendorf Richardson) Population combined for past years for spreadsheet coordination purposes.</t>
        </r>
      </text>
    </comment>
    <comment ref="C344" authorId="4">
      <text>
        <r>
          <rPr>
            <b/>
            <sz val="9"/>
            <rFont val="Tahoma"/>
            <family val="2"/>
          </rPr>
          <t>Weed, Lori (EED):</t>
        </r>
        <r>
          <rPr>
            <sz val="9"/>
            <rFont val="Tahoma"/>
            <family val="2"/>
          </rPr>
          <t xml:space="preserve">
misspelled from "RAMPART" to allow lookup at current YKSD</t>
        </r>
      </text>
    </comment>
  </commentList>
</comments>
</file>

<file path=xl/sharedStrings.xml><?xml version="1.0" encoding="utf-8"?>
<sst xmlns="http://schemas.openxmlformats.org/spreadsheetml/2006/main" count="4282" uniqueCount="1298">
  <si>
    <t>District:</t>
  </si>
  <si>
    <t>School:</t>
  </si>
  <si>
    <t>School Type:</t>
  </si>
  <si>
    <t>Projected ADM (K-6):</t>
  </si>
  <si>
    <t>Project Number:</t>
  </si>
  <si>
    <t>Existing GSF To Remain:</t>
  </si>
  <si>
    <t xml:space="preserve">Additional GSF Requested: </t>
  </si>
  <si>
    <t>Total GSF Proposed:</t>
  </si>
  <si>
    <t>Eligible Base GSF:</t>
  </si>
  <si>
    <t>Eligible Supplemental GSF:</t>
  </si>
  <si>
    <t>Total GSF Eligible:</t>
  </si>
  <si>
    <t>Additional GSF Allowable:</t>
  </si>
  <si>
    <t>Projected ADM (7-12):</t>
  </si>
  <si>
    <t>Additional GSF Reduction:</t>
  </si>
  <si>
    <t>Current ADM (K-6):</t>
  </si>
  <si>
    <t>Current ADM (7-12):</t>
  </si>
  <si>
    <t>Existing GSF:</t>
  </si>
  <si>
    <t>Allowable Gross Square Footage</t>
  </si>
  <si>
    <t>Unhoused Students:</t>
  </si>
  <si>
    <t>Existing GSF Elementary Capacity:</t>
  </si>
  <si>
    <t>Existing GSF Secondary Capacity:</t>
  </si>
  <si>
    <t>Existing GSF Serving Total ADM:</t>
  </si>
  <si>
    <t>Existing Base GSF:</t>
  </si>
  <si>
    <t>Existing Supplemental GSF:</t>
  </si>
  <si>
    <t>Current Percent Capacity:</t>
  </si>
  <si>
    <t>Current Capacity and Unhoused</t>
  </si>
  <si>
    <t>Projected Percent Capacity:</t>
  </si>
  <si>
    <t>Projected Capacity and Unhoused</t>
  </si>
  <si>
    <t>K-12</t>
  </si>
  <si>
    <t>Mixed Grade</t>
  </si>
  <si>
    <t>Elementary</t>
  </si>
  <si>
    <t>Secondary</t>
  </si>
  <si>
    <t>ADM Projection Comparison</t>
  </si>
  <si>
    <t xml:space="preserve">  School District:</t>
  </si>
  <si>
    <t xml:space="preserve">  School Name:</t>
  </si>
  <si>
    <t xml:space="preserve">  Project Number:</t>
  </si>
  <si>
    <t xml:space="preserve">  School Type:</t>
  </si>
  <si>
    <t>Historical Attendance Area ADM by Fiscal Year</t>
  </si>
  <si>
    <t xml:space="preserve">Average </t>
  </si>
  <si>
    <t>Overall</t>
  </si>
  <si>
    <t>Annual ADM</t>
  </si>
  <si>
    <t>ADM</t>
  </si>
  <si>
    <t>Change</t>
  </si>
  <si>
    <t>Growth</t>
  </si>
  <si>
    <t xml:space="preserve">  Attendance Area</t>
  </si>
  <si>
    <t>Future School ADM Projections by School Year</t>
  </si>
  <si>
    <t>2006-2007</t>
  </si>
  <si>
    <t>2007-2008</t>
  </si>
  <si>
    <t>2008-2009</t>
  </si>
  <si>
    <t>2009-2010</t>
  </si>
  <si>
    <t xml:space="preserve">  District's K-6 Projection</t>
  </si>
  <si>
    <t>--</t>
  </si>
  <si>
    <t xml:space="preserve">  District's 7-12 Projection</t>
  </si>
  <si>
    <t xml:space="preserve">  EED's K-6 Projection</t>
  </si>
  <si>
    <t xml:space="preserve">  EED's 7-12 Projection </t>
  </si>
  <si>
    <t xml:space="preserve">  K-6 students</t>
  </si>
  <si>
    <t xml:space="preserve">  7-12 students</t>
  </si>
  <si>
    <t>2010-2011</t>
  </si>
  <si>
    <t>2011-2012</t>
  </si>
  <si>
    <t>Note:  District projection numbers shown in italics were not provided by the school district.</t>
  </si>
  <si>
    <t>2012-2013</t>
  </si>
  <si>
    <t>2013-2014</t>
  </si>
  <si>
    <t xml:space="preserve">          </t>
  </si>
  <si>
    <t>Dot Lake School</t>
  </si>
  <si>
    <t>Eagle Community School</t>
  </si>
  <si>
    <t>Mentasta Lake School</t>
  </si>
  <si>
    <t>Tanacross School</t>
  </si>
  <si>
    <t>Tetlin School</t>
  </si>
  <si>
    <t>Tok School</t>
  </si>
  <si>
    <t>Walter Northway School</t>
  </si>
  <si>
    <t>Adak School</t>
  </si>
  <si>
    <t>Akutan School</t>
  </si>
  <si>
    <t>False Pass School</t>
  </si>
  <si>
    <t>King Cove School</t>
  </si>
  <si>
    <t>Sand Point School</t>
  </si>
  <si>
    <t>K-6 Abbott Loop Elementary</t>
  </si>
  <si>
    <t>K-6 Airport Heights Elementary</t>
  </si>
  <si>
    <t>K-6 Alpenglow Elementary</t>
  </si>
  <si>
    <t>K-6 Aurora Elementary</t>
  </si>
  <si>
    <t>K-6 Baxter Elementary</t>
  </si>
  <si>
    <t>K-6 Bayshore Elementary</t>
  </si>
  <si>
    <t>K-6 Bear Valley Elementary</t>
  </si>
  <si>
    <t>K-6 Bowman Elementary</t>
  </si>
  <si>
    <t>K-6 Campbell Elementary</t>
  </si>
  <si>
    <t>K-6 Chinook Elementary</t>
  </si>
  <si>
    <t>K-6 Chugach Optional Elementary</t>
  </si>
  <si>
    <t>K-6 College Gate Elementary</t>
  </si>
  <si>
    <t>K-6 Denali Elementary</t>
  </si>
  <si>
    <t>K-6 Eagle River Elementary</t>
  </si>
  <si>
    <t>K-6 Fairview Elementary</t>
  </si>
  <si>
    <t>K-6 Government Hill Elementary</t>
  </si>
  <si>
    <t>K-6 Homestead Elementary</t>
  </si>
  <si>
    <t>K-6 Huffman Elementary</t>
  </si>
  <si>
    <t>K-6 Inlet View Elementary</t>
  </si>
  <si>
    <t>K-6 Kasuun Elementary</t>
  </si>
  <si>
    <t>K-6 Lake Hood Elementary</t>
  </si>
  <si>
    <t>K-6 Lake Otis Elementary</t>
  </si>
  <si>
    <t>K-6 Mt. Spurr Elementary</t>
  </si>
  <si>
    <t>K-6 Mountain View Elementary</t>
  </si>
  <si>
    <t>K-6 North Star Elementary</t>
  </si>
  <si>
    <t>K-6 Northwood Elementary</t>
  </si>
  <si>
    <t>K-6 Nunaka Valley Elementary</t>
  </si>
  <si>
    <t>K-6 Ocean View Elementary</t>
  </si>
  <si>
    <t>K-6 O'Malley Elementary</t>
  </si>
  <si>
    <t>K-6 Orion Elementary</t>
  </si>
  <si>
    <t>K-6 Ptarmigan Elementary</t>
  </si>
  <si>
    <t>K-6 Rabbit Creek Elementary</t>
  </si>
  <si>
    <t>K-6 Ravenwood Elementary</t>
  </si>
  <si>
    <t>K-6 Rogers Park Elementary</t>
  </si>
  <si>
    <t>K-6 Russian Jack Elementary</t>
  </si>
  <si>
    <t>K-6 Sand Lake Elementary</t>
  </si>
  <si>
    <t>K-6 Taku Elementary</t>
  </si>
  <si>
    <t xml:space="preserve">K-6 Trailside Elementary </t>
  </si>
  <si>
    <t>K-6 Tudor Elementary</t>
  </si>
  <si>
    <t>K-6 Turnagain Elementary</t>
  </si>
  <si>
    <t>K-6 William Tyson Elementary</t>
  </si>
  <si>
    <t>K-6 Ursa Major Elementary</t>
  </si>
  <si>
    <t>K-6 Ursa Minor Elementary</t>
  </si>
  <si>
    <t>K-6 Williwaw Elementary</t>
  </si>
  <si>
    <t>K-6 Willow Crest Elementary</t>
  </si>
  <si>
    <t>K-6 Wonder Park Elementary</t>
  </si>
  <si>
    <t>K-6 Gladys Wood Elementary</t>
  </si>
  <si>
    <t>MS  Central Middle</t>
  </si>
  <si>
    <t>MS  Golden View Middle</t>
  </si>
  <si>
    <t>MS  Gruening Middle School</t>
  </si>
  <si>
    <t>MS  Hanshew Middle</t>
  </si>
  <si>
    <t>MS  Mears Middle School</t>
  </si>
  <si>
    <t>MS  Mirror Lake Middle School</t>
  </si>
  <si>
    <t>MS  Romig Middle</t>
  </si>
  <si>
    <t>MS  Wendler Middle</t>
  </si>
  <si>
    <t>SH  Bartlett High</t>
  </si>
  <si>
    <t>SH  Chugiak High</t>
  </si>
  <si>
    <t>SH  Dimond High</t>
  </si>
  <si>
    <t>SH  East High</t>
  </si>
  <si>
    <t>SH  Service High</t>
  </si>
  <si>
    <t>SH South Anchorage High</t>
  </si>
  <si>
    <t>SH  West High</t>
  </si>
  <si>
    <t>Leask Middle School</t>
  </si>
  <si>
    <t>Metlakatla High School</t>
  </si>
  <si>
    <t>R. J. Elementary</t>
  </si>
  <si>
    <t>Brevig Mission School</t>
  </si>
  <si>
    <t>Diomede School</t>
  </si>
  <si>
    <t>Gambell School</t>
  </si>
  <si>
    <t>Golovin School (Martin L. Olson)</t>
  </si>
  <si>
    <t>Savoonga School (Hogarth Kingeekuk SR.)</t>
  </si>
  <si>
    <t>Shaktoolik School</t>
  </si>
  <si>
    <t>Shishmaref School</t>
  </si>
  <si>
    <t>Unalakleet School</t>
  </si>
  <si>
    <t>White Mountain School</t>
  </si>
  <si>
    <t>Bristol Bay School</t>
  </si>
  <si>
    <t>Angoon School</t>
  </si>
  <si>
    <t>Gustavus School</t>
  </si>
  <si>
    <t>Klukwan School</t>
  </si>
  <si>
    <t>Chenega Bay School</t>
  </si>
  <si>
    <t>Tatitlek Community School</t>
  </si>
  <si>
    <t>Whittier Community School</t>
  </si>
  <si>
    <t>Glennallen School K-6</t>
  </si>
  <si>
    <t>Kenny Lake School</t>
  </si>
  <si>
    <t>Slana School</t>
  </si>
  <si>
    <t>Mt. Eccles Elementary</t>
  </si>
  <si>
    <t>Craig Elementary</t>
  </si>
  <si>
    <t>Craig Middle School</t>
  </si>
  <si>
    <t>Craig High School</t>
  </si>
  <si>
    <t>Gerstle River School</t>
  </si>
  <si>
    <t>Anderson School</t>
  </si>
  <si>
    <t>Cantwell School</t>
  </si>
  <si>
    <t>Tri-Valley School</t>
  </si>
  <si>
    <t>Dillingham Elementary</t>
  </si>
  <si>
    <t>Dillingham Middle &amp; High School</t>
  </si>
  <si>
    <t>Anderson Elementary School</t>
  </si>
  <si>
    <t>Anne Wien Elementary School</t>
  </si>
  <si>
    <t>Arctic Light Elementary School</t>
  </si>
  <si>
    <t>Barnette Elementary School</t>
  </si>
  <si>
    <t>Ben Eielson Jr/Sr High School</t>
  </si>
  <si>
    <t>Chinook Montessori Charter School</t>
  </si>
  <si>
    <t>Crawford Elementary School</t>
  </si>
  <si>
    <t>Denali Elementary School</t>
  </si>
  <si>
    <t>Hunter Elementary School</t>
  </si>
  <si>
    <t>Hutchison High School</t>
  </si>
  <si>
    <t>Joy Elementary School</t>
  </si>
  <si>
    <t>Ladd Elementary School</t>
  </si>
  <si>
    <t>Lathrop High School</t>
  </si>
  <si>
    <t>Nordale Elementary School</t>
  </si>
  <si>
    <t>North Pole Elementary School</t>
  </si>
  <si>
    <t>North Pole High School</t>
  </si>
  <si>
    <t>North Pole Middle School</t>
  </si>
  <si>
    <t>Pearl Creek Elementary School</t>
  </si>
  <si>
    <t>Randy Smith Middle School</t>
  </si>
  <si>
    <t>Ryan Middle School</t>
  </si>
  <si>
    <t>Salcha Elementary School</t>
  </si>
  <si>
    <t>Tanana Middle School</t>
  </si>
  <si>
    <t>Ticasuk Brown Elementary School</t>
  </si>
  <si>
    <t>Two Rivers Elementary School</t>
  </si>
  <si>
    <t>University Park Elementary School</t>
  </si>
  <si>
    <t>Weller Elementary School</t>
  </si>
  <si>
    <t>West Valley High School</t>
  </si>
  <si>
    <t>Woodriver Elementary School</t>
  </si>
  <si>
    <t>Effie Kokrine Charter School</t>
  </si>
  <si>
    <t>Star of the North Secondary School (charter)</t>
  </si>
  <si>
    <t>Alternative Learning Systems</t>
  </si>
  <si>
    <t>Galena Interior Learning Academy</t>
  </si>
  <si>
    <t>Haines High School</t>
  </si>
  <si>
    <t>Holy Cross School</t>
  </si>
  <si>
    <t>McGrath School</t>
  </si>
  <si>
    <t xml:space="preserve">Takotna Community School </t>
  </si>
  <si>
    <t>Auke Bay Elementary School</t>
  </si>
  <si>
    <t>Dzantik'i Heeni Middle School</t>
  </si>
  <si>
    <t>Floyd Dryden Middle School</t>
  </si>
  <si>
    <t>Glacier Valley Elementary School</t>
  </si>
  <si>
    <t>Harborview Elementary School</t>
  </si>
  <si>
    <t>Juneau Douglas High School</t>
  </si>
  <si>
    <t>Mendenhall River Elementary School</t>
  </si>
  <si>
    <t>Riverbend Elementary School</t>
  </si>
  <si>
    <t>Juneau Community Charter School</t>
  </si>
  <si>
    <t>Johnson Youth Center</t>
  </si>
  <si>
    <t>Kake Elementary &amp; High School</t>
  </si>
  <si>
    <t>Chevak School</t>
  </si>
  <si>
    <t>Homer Middle School</t>
  </si>
  <si>
    <t>Hope School</t>
  </si>
  <si>
    <t>Kenai Central High School</t>
  </si>
  <si>
    <t>Kenai Middle School</t>
  </si>
  <si>
    <t>Moose Pass School</t>
  </si>
  <si>
    <t>Nanwalek School</t>
  </si>
  <si>
    <t>Ninilchik School</t>
  </si>
  <si>
    <t>Port Graham School</t>
  </si>
  <si>
    <t>Seward Elementary School</t>
  </si>
  <si>
    <t>Seward High School</t>
  </si>
  <si>
    <t>Seward Middle School</t>
  </si>
  <si>
    <t>Soldotna Elementary School</t>
  </si>
  <si>
    <t>Soldotna Middle School</t>
  </si>
  <si>
    <t>West Homer Elementary (Homer Intermd.)</t>
  </si>
  <si>
    <t>Homer Flex</t>
  </si>
  <si>
    <t>Kenai Alternative School</t>
  </si>
  <si>
    <t>Kaleidoscope Charter School</t>
  </si>
  <si>
    <t>Fireweed Academy Charter (Homer)</t>
  </si>
  <si>
    <t xml:space="preserve">Soldotna Montessori Charter </t>
  </si>
  <si>
    <t>Houghtaling Elementary School</t>
  </si>
  <si>
    <t>Ketchikan High School</t>
  </si>
  <si>
    <t>Point Higgins Elementary School</t>
  </si>
  <si>
    <t>Schoenbar Middle School</t>
  </si>
  <si>
    <t>Fawn Mountain Elementary</t>
  </si>
  <si>
    <t>Revilla High School (Alt.)</t>
  </si>
  <si>
    <t>Tongass School of Arts &amp; Sciences Charter</t>
  </si>
  <si>
    <t>Ketchikan Charter School</t>
  </si>
  <si>
    <t>Klawock School</t>
  </si>
  <si>
    <t>Akhiok School</t>
  </si>
  <si>
    <t>Chiniak School</t>
  </si>
  <si>
    <t>Karluk School</t>
  </si>
  <si>
    <t>Kodiak High School</t>
  </si>
  <si>
    <t>Kodiak Middle School</t>
  </si>
  <si>
    <t>Larsen Bay School</t>
  </si>
  <si>
    <t>North Star Elementary School (Kodiak)</t>
  </si>
  <si>
    <t>Old Harbor School</t>
  </si>
  <si>
    <t>Ouzinkie School</t>
  </si>
  <si>
    <t>Port Lions School</t>
  </si>
  <si>
    <t>Aniak High School</t>
  </si>
  <si>
    <t>Chignik Bay School</t>
  </si>
  <si>
    <t>Chignik Lagoon School</t>
  </si>
  <si>
    <t>Chignik Lake School</t>
  </si>
  <si>
    <t>Igugig School</t>
  </si>
  <si>
    <t>Kokhanok School</t>
  </si>
  <si>
    <t>Levelock School</t>
  </si>
  <si>
    <t>Newhalen School</t>
  </si>
  <si>
    <t>Nondalton School</t>
  </si>
  <si>
    <t>Perryville School</t>
  </si>
  <si>
    <t>Pilot Point School</t>
  </si>
  <si>
    <t>Port Alsworth School (Tanalian)</t>
  </si>
  <si>
    <t>Port Heiden School (Meshik)</t>
  </si>
  <si>
    <t>Akiuk Memorial School (Kasigluk)</t>
  </si>
  <si>
    <t>Akula Elitnauvik School (Kasigluk)</t>
  </si>
  <si>
    <t>Bethel Regional High School</t>
  </si>
  <si>
    <t>Eek School</t>
  </si>
  <si>
    <t>Kwigillingok School</t>
  </si>
  <si>
    <t>Bethel Youth Facility</t>
  </si>
  <si>
    <t>Emmonak School</t>
  </si>
  <si>
    <t>Hooper Bay School</t>
  </si>
  <si>
    <t>Kotlik School</t>
  </si>
  <si>
    <t>Marshall School</t>
  </si>
  <si>
    <t>Mountain Village School (Ignatius Beans)</t>
  </si>
  <si>
    <t>Pilot Station School</t>
  </si>
  <si>
    <t>Russian Mission</t>
  </si>
  <si>
    <t>Scammon Bay School</t>
  </si>
  <si>
    <t>Beryozava</t>
  </si>
  <si>
    <t>Big Lake Elementary</t>
  </si>
  <si>
    <t>Colony High School</t>
  </si>
  <si>
    <t>Colony Middle School</t>
  </si>
  <si>
    <t>Cottonwood Creek</t>
  </si>
  <si>
    <t>Glacier View</t>
  </si>
  <si>
    <t>Houston Middle School</t>
  </si>
  <si>
    <t>Houston High School</t>
  </si>
  <si>
    <t>Iditarod</t>
  </si>
  <si>
    <t>Larson Elementary School</t>
  </si>
  <si>
    <t>Meadow Lakes Elementary</t>
  </si>
  <si>
    <t xml:space="preserve">Palmer High School </t>
  </si>
  <si>
    <t>Palmer Middle School</t>
  </si>
  <si>
    <t>Pioneer Peak</t>
  </si>
  <si>
    <t>Sherrod Elementary</t>
  </si>
  <si>
    <t>Snowshoe Elementary</t>
  </si>
  <si>
    <t>Sutton Elementary</t>
  </si>
  <si>
    <t>Swanson Elementary</t>
  </si>
  <si>
    <t>Talkeetna Elementary</t>
  </si>
  <si>
    <t>Tanaina Elementary</t>
  </si>
  <si>
    <t>Teeland Middle School</t>
  </si>
  <si>
    <t>Trapper Creek</t>
  </si>
  <si>
    <t>John Shaw Elementary</t>
  </si>
  <si>
    <t>Wasilla High School</t>
  </si>
  <si>
    <t>Wasilla Middle School</t>
  </si>
  <si>
    <t>Academy Charter School</t>
  </si>
  <si>
    <t>Midnight Sun Charter School</t>
  </si>
  <si>
    <t>Mat-Su Secondary [Youth Facility]</t>
  </si>
  <si>
    <t>Valley Pathways Alternative School</t>
  </si>
  <si>
    <t>Burchell Alternative High School</t>
  </si>
  <si>
    <t>Nenana K-12 School</t>
  </si>
  <si>
    <t>Nome Elementary School</t>
  </si>
  <si>
    <t>Nome-Beltz Jr/Sr High</t>
  </si>
  <si>
    <t>Nome Youth Facility</t>
  </si>
  <si>
    <t>Alak School</t>
  </si>
  <si>
    <t>Barrow High School (Barrow)</t>
  </si>
  <si>
    <t>Eben Hopson Middle (Barrow)</t>
  </si>
  <si>
    <t>Fred Ipalook (Barrow)</t>
  </si>
  <si>
    <t>Nuiqsut Trapper School</t>
  </si>
  <si>
    <t>Kiita Learning Community</t>
  </si>
  <si>
    <t>Ambler School</t>
  </si>
  <si>
    <t>Aqqaluk School</t>
  </si>
  <si>
    <t>Buckland School</t>
  </si>
  <si>
    <t>Deering School</t>
  </si>
  <si>
    <t>Kiana School</t>
  </si>
  <si>
    <t xml:space="preserve">June Nelson Elementary School (Kotzebue) </t>
  </si>
  <si>
    <t>Kotzebue Middle/High School</t>
  </si>
  <si>
    <t>Davis-Ramoth Memorial (Selawik)</t>
  </si>
  <si>
    <t>Shungnak</t>
  </si>
  <si>
    <t>Pelican School</t>
  </si>
  <si>
    <t>Petersburg Elementary (Rae C. Stedman)</t>
  </si>
  <si>
    <t xml:space="preserve">Petersburg High School </t>
  </si>
  <si>
    <t>Petersburg Middle School (Mitkof)</t>
  </si>
  <si>
    <t>Saint George Island School K-12</t>
  </si>
  <si>
    <t>St. Paul Island School</t>
  </si>
  <si>
    <t>St. Mary's School</t>
  </si>
  <si>
    <t>Baranof Elementary School</t>
  </si>
  <si>
    <t>Sitka High School</t>
  </si>
  <si>
    <t>Keet Gooshi Heen Elementary School</t>
  </si>
  <si>
    <t>Skagway School</t>
  </si>
  <si>
    <t>Hollis School</t>
  </si>
  <si>
    <t>Howard Valentine</t>
  </si>
  <si>
    <t>Kasaan School</t>
  </si>
  <si>
    <t>Naukati School</t>
  </si>
  <si>
    <t>Port Alexander School</t>
  </si>
  <si>
    <t>Thorne Bay School</t>
  </si>
  <si>
    <t>Aleknagik North School</t>
  </si>
  <si>
    <t>Koliganek School</t>
  </si>
  <si>
    <t>Manokotak School</t>
  </si>
  <si>
    <t>Togiak School</t>
  </si>
  <si>
    <t>Twin Hills School</t>
  </si>
  <si>
    <t>Maudrey J. Sommer School</t>
  </si>
  <si>
    <t>Unalaska Elementary (K-4)</t>
  </si>
  <si>
    <t>Unalaska Jr/Sr High School</t>
  </si>
  <si>
    <t>George H. Gilson Jr. High</t>
  </si>
  <si>
    <t>Hermon Hutchens Elementary</t>
  </si>
  <si>
    <t>Valdez High School</t>
  </si>
  <si>
    <t>Stikine Middle School (Stikine)</t>
  </si>
  <si>
    <t>Wrangell Elementary School (Evergreen)</t>
  </si>
  <si>
    <t>Wrangell High School</t>
  </si>
  <si>
    <t>Arctic Village School</t>
  </si>
  <si>
    <t>Beaver "Cruikshank" School</t>
  </si>
  <si>
    <t>Circle School</t>
  </si>
  <si>
    <t>Fort Yukon School</t>
  </si>
  <si>
    <t>Tsuk Taih School (Chalkyitsik)</t>
  </si>
  <si>
    <t>Venetie School (John Fredson)</t>
  </si>
  <si>
    <t>Allakaket School</t>
  </si>
  <si>
    <t>Gladys Dart School (Manley Hot Springs)</t>
  </si>
  <si>
    <t>Kaltag School</t>
  </si>
  <si>
    <t>Minto</t>
  </si>
  <si>
    <t>Akiachak School</t>
  </si>
  <si>
    <t>Akiak School</t>
  </si>
  <si>
    <t>Tuluksak School</t>
  </si>
  <si>
    <t>Attendance Area</t>
  </si>
  <si>
    <t>K-6</t>
  </si>
  <si>
    <t>7-12</t>
  </si>
  <si>
    <t>Total</t>
  </si>
  <si>
    <t>District</t>
  </si>
  <si>
    <t>ALASKA GATEWAY</t>
  </si>
  <si>
    <t>Dot Lake</t>
  </si>
  <si>
    <t>Alaska Gateway</t>
  </si>
  <si>
    <t>Eagle</t>
  </si>
  <si>
    <t>Mentasta Lake</t>
  </si>
  <si>
    <t>Northway</t>
  </si>
  <si>
    <t>Tanacross</t>
  </si>
  <si>
    <t>Tetlin</t>
  </si>
  <si>
    <t>Tok</t>
  </si>
  <si>
    <t>TOTAL</t>
  </si>
  <si>
    <t>ALEUTIAN REGION</t>
  </si>
  <si>
    <t>Adak</t>
  </si>
  <si>
    <t>Aleutian Region</t>
  </si>
  <si>
    <t>Atka</t>
  </si>
  <si>
    <t>ALEUTIANS EAST</t>
  </si>
  <si>
    <t>Akutan</t>
  </si>
  <si>
    <t>Aleutians East</t>
  </si>
  <si>
    <t>False Pass</t>
  </si>
  <si>
    <t>King Cove</t>
  </si>
  <si>
    <t>Sand Point</t>
  </si>
  <si>
    <t>ANCHORAGE</t>
  </si>
  <si>
    <t>Anchorage</t>
  </si>
  <si>
    <t>Girdwood</t>
  </si>
  <si>
    <t xml:space="preserve">*Note:  King Career Center is not on this report, </t>
  </si>
  <si>
    <t>None</t>
  </si>
  <si>
    <t>SH = Senior High</t>
  </si>
  <si>
    <t>Metlakatla</t>
  </si>
  <si>
    <t>BERING STRAIT</t>
  </si>
  <si>
    <t>Elim</t>
  </si>
  <si>
    <t>Bering Strait</t>
  </si>
  <si>
    <t>St. Michael</t>
  </si>
  <si>
    <t>Brevig Mission</t>
  </si>
  <si>
    <t>Diomede</t>
  </si>
  <si>
    <t>Gambell</t>
  </si>
  <si>
    <t>Golovin</t>
  </si>
  <si>
    <t>Teller</t>
  </si>
  <si>
    <t>Koyuk</t>
  </si>
  <si>
    <t>Savoonga</t>
  </si>
  <si>
    <t>Shaktoolik</t>
  </si>
  <si>
    <t>Stebbins</t>
  </si>
  <si>
    <t>Unalakleet</t>
  </si>
  <si>
    <t>Wales</t>
  </si>
  <si>
    <t>White Mountain</t>
  </si>
  <si>
    <t>BRISTOL BAY</t>
  </si>
  <si>
    <t>Naknek</t>
  </si>
  <si>
    <t>Bristol Bay</t>
  </si>
  <si>
    <t>CHATHAM</t>
  </si>
  <si>
    <t>Angoon</t>
  </si>
  <si>
    <t>Chatham</t>
  </si>
  <si>
    <t>Gustavus</t>
  </si>
  <si>
    <t>Klukwan</t>
  </si>
  <si>
    <t>Tenakee</t>
  </si>
  <si>
    <t>CHUGACH</t>
  </si>
  <si>
    <t>Chugach</t>
  </si>
  <si>
    <t>Tatitlek</t>
  </si>
  <si>
    <t>Whittier</t>
  </si>
  <si>
    <t>COPPER RIVER</t>
  </si>
  <si>
    <t>Glennallen</t>
  </si>
  <si>
    <t>Copper River</t>
  </si>
  <si>
    <t>Kenny Lake</t>
  </si>
  <si>
    <t>Slana</t>
  </si>
  <si>
    <t>CORDOVA</t>
  </si>
  <si>
    <t>Cordova</t>
  </si>
  <si>
    <t>CRAIG</t>
  </si>
  <si>
    <t>Craig</t>
  </si>
  <si>
    <t>DELTA/GREELY</t>
  </si>
  <si>
    <t>Delta Junction</t>
  </si>
  <si>
    <t>Delta/Greely</t>
  </si>
  <si>
    <t>Gerstle River</t>
  </si>
  <si>
    <t>DENALI</t>
  </si>
  <si>
    <t>Anderson</t>
  </si>
  <si>
    <t>Denali</t>
  </si>
  <si>
    <t>Cantwell</t>
  </si>
  <si>
    <t>Healy</t>
  </si>
  <si>
    <t>DILLINGHAM</t>
  </si>
  <si>
    <t>Dillingham</t>
  </si>
  <si>
    <t>FAIRBANKS</t>
  </si>
  <si>
    <t>Eielson</t>
  </si>
  <si>
    <t>Fairbanks</t>
  </si>
  <si>
    <t>Ft. Wainwright</t>
  </si>
  <si>
    <t>North Pole</t>
  </si>
  <si>
    <t>Salcha</t>
  </si>
  <si>
    <t>Two Rivers</t>
  </si>
  <si>
    <t>GALENA</t>
  </si>
  <si>
    <t>Galena</t>
  </si>
  <si>
    <t>HAINES</t>
  </si>
  <si>
    <t>Haines</t>
  </si>
  <si>
    <t>HOONAH</t>
  </si>
  <si>
    <t>Hoonah</t>
  </si>
  <si>
    <t>HYDABURG</t>
  </si>
  <si>
    <t>Hydaburg</t>
  </si>
  <si>
    <t>IDITAROD</t>
  </si>
  <si>
    <t>Anvik</t>
  </si>
  <si>
    <t>Grayling</t>
  </si>
  <si>
    <t>Holy Cross</t>
  </si>
  <si>
    <t>Shageluk</t>
  </si>
  <si>
    <t>McGrath</t>
  </si>
  <si>
    <t>Takotna</t>
  </si>
  <si>
    <t>Nikolai</t>
  </si>
  <si>
    <t>JUNEAU</t>
  </si>
  <si>
    <t>Juneau</t>
  </si>
  <si>
    <t>KAKE</t>
  </si>
  <si>
    <t>Kake</t>
  </si>
  <si>
    <t>KASHUNAMIUT</t>
  </si>
  <si>
    <t>Chevak</t>
  </si>
  <si>
    <t>Kashunamiut</t>
  </si>
  <si>
    <t>KENAI PENINSULA</t>
  </si>
  <si>
    <t>Homer</t>
  </si>
  <si>
    <t>Kenai Peninsula</t>
  </si>
  <si>
    <t>Cooper Landing</t>
  </si>
  <si>
    <t>Hope</t>
  </si>
  <si>
    <t>Kachemak</t>
  </si>
  <si>
    <t>Soldotna</t>
  </si>
  <si>
    <t>Kenai</t>
  </si>
  <si>
    <t>Moose Pass</t>
  </si>
  <si>
    <t>Nanwalek</t>
  </si>
  <si>
    <t>Nikiski</t>
  </si>
  <si>
    <t>Nikolaevsk</t>
  </si>
  <si>
    <t>Ninilchik</t>
  </si>
  <si>
    <t>Port Graham</t>
  </si>
  <si>
    <t>Seward</t>
  </si>
  <si>
    <t>Seldovia</t>
  </si>
  <si>
    <t>Tyonek</t>
  </si>
  <si>
    <t>Fritz Creek</t>
  </si>
  <si>
    <t>KETCHIKAN</t>
  </si>
  <si>
    <t>Ketchikan</t>
  </si>
  <si>
    <t>KLAWOCK</t>
  </si>
  <si>
    <t>Klawock</t>
  </si>
  <si>
    <t>KODIAK ISLAND</t>
  </si>
  <si>
    <t>Akhiok</t>
  </si>
  <si>
    <t>Kodiak Island</t>
  </si>
  <si>
    <t>Chiniak</t>
  </si>
  <si>
    <t>Kodiak</t>
  </si>
  <si>
    <t>Karluk</t>
  </si>
  <si>
    <t>Old Harbor</t>
  </si>
  <si>
    <t>Larsen Bay</t>
  </si>
  <si>
    <t>Ouzinkie</t>
  </si>
  <si>
    <t>Port Lions</t>
  </si>
  <si>
    <t>KUSPUK</t>
  </si>
  <si>
    <t>Aniak</t>
  </si>
  <si>
    <t>Kuspuk</t>
  </si>
  <si>
    <t>Lower Kalskag</t>
  </si>
  <si>
    <t>Chuathbaluk</t>
  </si>
  <si>
    <t>Stony River</t>
  </si>
  <si>
    <t>Sleetmute</t>
  </si>
  <si>
    <t>Crooked Creek</t>
  </si>
  <si>
    <t>LAKE &amp; PENINSULA</t>
  </si>
  <si>
    <t>Chignik Bay</t>
  </si>
  <si>
    <t>Lake &amp; Peninsula</t>
  </si>
  <si>
    <t>Chignik Lagoon</t>
  </si>
  <si>
    <t>Chignik Lake</t>
  </si>
  <si>
    <t>Levelock</t>
  </si>
  <si>
    <t>Newhalen</t>
  </si>
  <si>
    <t>Nondalton</t>
  </si>
  <si>
    <t>Perryville</t>
  </si>
  <si>
    <t>Pilot Point</t>
  </si>
  <si>
    <t>Port Heiden</t>
  </si>
  <si>
    <t>LOWER KUSKOKWIM</t>
  </si>
  <si>
    <t>Kasigluk</t>
  </si>
  <si>
    <t>Lower Kuskokwim</t>
  </si>
  <si>
    <t>Bethel</t>
  </si>
  <si>
    <t>Atmautluak</t>
  </si>
  <si>
    <t>Chefornak</t>
  </si>
  <si>
    <t>Eek</t>
  </si>
  <si>
    <t>Goodnews Bay</t>
  </si>
  <si>
    <t>Kipnuk</t>
  </si>
  <si>
    <t>Kwethluk</t>
  </si>
  <si>
    <t>Kwigillingok</t>
  </si>
  <si>
    <t>Toksook Bay</t>
  </si>
  <si>
    <t>Mekoryuk</t>
  </si>
  <si>
    <t>Napakiak</t>
  </si>
  <si>
    <t>Napaskiak</t>
  </si>
  <si>
    <t>Newtok</t>
  </si>
  <si>
    <t>Nightmute</t>
  </si>
  <si>
    <t>Oscarville</t>
  </si>
  <si>
    <t>Quinhagak</t>
  </si>
  <si>
    <t>Tuntutuliak</t>
  </si>
  <si>
    <t>Tununak</t>
  </si>
  <si>
    <t>LOWER YUKON</t>
  </si>
  <si>
    <t>Lower Yukon</t>
  </si>
  <si>
    <t>Emmonak</t>
  </si>
  <si>
    <t>Hooper Bay</t>
  </si>
  <si>
    <t>Kotlik</t>
  </si>
  <si>
    <t>Marshall</t>
  </si>
  <si>
    <t>Mountain Village</t>
  </si>
  <si>
    <t>Pilot Station</t>
  </si>
  <si>
    <t>Scammon Bay</t>
  </si>
  <si>
    <t>Sheldon Point</t>
  </si>
  <si>
    <t>MAT-SU</t>
  </si>
  <si>
    <t>Colony</t>
  </si>
  <si>
    <t>Mat-Su</t>
  </si>
  <si>
    <t>Houston</t>
  </si>
  <si>
    <t>Palmer</t>
  </si>
  <si>
    <t>Susitna Valley</t>
  </si>
  <si>
    <t>Wasilla</t>
  </si>
  <si>
    <t>NENANA</t>
  </si>
  <si>
    <t>Nenana</t>
  </si>
  <si>
    <t>NOME</t>
  </si>
  <si>
    <t>Nome</t>
  </si>
  <si>
    <t>NORTH SLOPE</t>
  </si>
  <si>
    <t>Wainwright</t>
  </si>
  <si>
    <t>North Slope</t>
  </si>
  <si>
    <t>Point Lay</t>
  </si>
  <si>
    <t>Kaktovik</t>
  </si>
  <si>
    <t>Atqasuk</t>
  </si>
  <si>
    <t>Nuiqsut</t>
  </si>
  <si>
    <t>Anaktuvuk Pass</t>
  </si>
  <si>
    <t>Point Hope</t>
  </si>
  <si>
    <t>NORTHWEST ARCTIC</t>
  </si>
  <si>
    <t>Ambler</t>
  </si>
  <si>
    <t>Kotzebue</t>
  </si>
  <si>
    <t>Northwest Arctic</t>
  </si>
  <si>
    <t>Noorvik</t>
  </si>
  <si>
    <t>Buckland</t>
  </si>
  <si>
    <t>Deering</t>
  </si>
  <si>
    <t>Kiana</t>
  </si>
  <si>
    <t>Kobuk</t>
  </si>
  <si>
    <t>Kivalina</t>
  </si>
  <si>
    <t>Noatak</t>
  </si>
  <si>
    <t>Selawik</t>
  </si>
  <si>
    <t>PELICAN</t>
  </si>
  <si>
    <t>Pelican</t>
  </si>
  <si>
    <t>PETERSBURG</t>
  </si>
  <si>
    <t>Petersburg</t>
  </si>
  <si>
    <t>PRIBILOF</t>
  </si>
  <si>
    <t>St. George</t>
  </si>
  <si>
    <t>Pribilof</t>
  </si>
  <si>
    <t>St. Paul</t>
  </si>
  <si>
    <t>SAINT MARY'S</t>
  </si>
  <si>
    <t>St. Mary's</t>
  </si>
  <si>
    <t>Saint Mary's</t>
  </si>
  <si>
    <t>SITKA</t>
  </si>
  <si>
    <t>Sitka</t>
  </si>
  <si>
    <t>Skagway</t>
  </si>
  <si>
    <t>SOUTHEAST ISLAND</t>
  </si>
  <si>
    <t>Hollis</t>
  </si>
  <si>
    <t>Southeast Island</t>
  </si>
  <si>
    <t>Coffman Cove</t>
  </si>
  <si>
    <t>Kasaan</t>
  </si>
  <si>
    <t>Naukati</t>
  </si>
  <si>
    <t>Port Alexander</t>
  </si>
  <si>
    <t>Thorne Bay</t>
  </si>
  <si>
    <t>SOUTHWEST REGION</t>
  </si>
  <si>
    <t>Aleknagik</t>
  </si>
  <si>
    <t>Southwest Region</t>
  </si>
  <si>
    <t>New Stuyahok</t>
  </si>
  <si>
    <t>Koliganek</t>
  </si>
  <si>
    <t>Manokotak</t>
  </si>
  <si>
    <t>Togiak</t>
  </si>
  <si>
    <t>Twin Hills</t>
  </si>
  <si>
    <t>Ekwok</t>
  </si>
  <si>
    <t>TANANA</t>
  </si>
  <si>
    <t>Tanana</t>
  </si>
  <si>
    <t>UNALASKA</t>
  </si>
  <si>
    <t>Unalaska</t>
  </si>
  <si>
    <t>VALDEZ</t>
  </si>
  <si>
    <t>Valdez</t>
  </si>
  <si>
    <t>WRANGELL</t>
  </si>
  <si>
    <t>Wrangell</t>
  </si>
  <si>
    <t>YAKUTAT</t>
  </si>
  <si>
    <t>Yakutat</t>
  </si>
  <si>
    <t>YUKON FLATS</t>
  </si>
  <si>
    <t>Arctic Village</t>
  </si>
  <si>
    <t>Yukon Flats</t>
  </si>
  <si>
    <t>Beaver</t>
  </si>
  <si>
    <t>Circle</t>
  </si>
  <si>
    <t>Fort Yukon</t>
  </si>
  <si>
    <t>Chalkyitsik</t>
  </si>
  <si>
    <t>Venetie</t>
  </si>
  <si>
    <t>YUKON/KOYUKUK</t>
  </si>
  <si>
    <t>Allakaket</t>
  </si>
  <si>
    <t>Yukon/Koyukuk</t>
  </si>
  <si>
    <t>Nulato</t>
  </si>
  <si>
    <t>Koyukuk</t>
  </si>
  <si>
    <t>Manley Hot Springs</t>
  </si>
  <si>
    <t>Huslia</t>
  </si>
  <si>
    <t>Hughes</t>
  </si>
  <si>
    <t>Kaltag</t>
  </si>
  <si>
    <t>Ruby</t>
  </si>
  <si>
    <t>YUPIIT</t>
  </si>
  <si>
    <t>Akiachak</t>
  </si>
  <si>
    <t>Yupiit</t>
  </si>
  <si>
    <t>Akiak</t>
  </si>
  <si>
    <t>Tuluksak</t>
  </si>
  <si>
    <t>MT.EDGECUMBE</t>
  </si>
  <si>
    <t>Mt. Edgecumbe</t>
  </si>
  <si>
    <t>Type</t>
  </si>
  <si>
    <t>School District</t>
  </si>
  <si>
    <t>91 ADM</t>
  </si>
  <si>
    <t>92 ADM</t>
  </si>
  <si>
    <t>93 ADM</t>
  </si>
  <si>
    <t>94 ADM</t>
  </si>
  <si>
    <t>95 ADM</t>
  </si>
  <si>
    <t>96 ADM</t>
  </si>
  <si>
    <t>97 ADM</t>
  </si>
  <si>
    <t>98 ADM</t>
  </si>
  <si>
    <t>99 ADM</t>
  </si>
  <si>
    <t>2000 ADM</t>
  </si>
  <si>
    <t>2001 ADM</t>
  </si>
  <si>
    <t>2002 ADM</t>
  </si>
  <si>
    <t>2003 ADM</t>
  </si>
  <si>
    <t>2004 ADM</t>
  </si>
  <si>
    <t>2005 ADM</t>
  </si>
  <si>
    <t>2006 ADM</t>
  </si>
  <si>
    <t>2007 ADM</t>
  </si>
  <si>
    <t>REAA</t>
  </si>
  <si>
    <t>ALCAN BORDER</t>
  </si>
  <si>
    <t>closed</t>
  </si>
  <si>
    <t>DOT LAKE</t>
  </si>
  <si>
    <t>EAGLE</t>
  </si>
  <si>
    <t>MENTASTA LAKE</t>
  </si>
  <si>
    <t>NORTHWAY</t>
  </si>
  <si>
    <t>TETLIN</t>
  </si>
  <si>
    <t>TOK</t>
  </si>
  <si>
    <t>ATKA</t>
  </si>
  <si>
    <t>NIKOLSKI</t>
  </si>
  <si>
    <t>ADAK</t>
  </si>
  <si>
    <t>C/B</t>
  </si>
  <si>
    <t>ALEUTIAN EAST</t>
  </si>
  <si>
    <t>AKUTAN</t>
  </si>
  <si>
    <t>COLD BAY</t>
  </si>
  <si>
    <t>FALSE PASS</t>
  </si>
  <si>
    <t>KING COVE</t>
  </si>
  <si>
    <t>NELSON LAGOON</t>
  </si>
  <si>
    <t>SAND POINT</t>
  </si>
  <si>
    <t>EAGLE RIVER</t>
  </si>
  <si>
    <t>anchorage</t>
  </si>
  <si>
    <t>GIRDWOOD</t>
  </si>
  <si>
    <t>SCHOOL FOR THE DEAF</t>
  </si>
  <si>
    <t>ELMENDORF</t>
  </si>
  <si>
    <t>FORT RICHARDSON</t>
  </si>
  <si>
    <t>ANNETTE ISLAND</t>
  </si>
  <si>
    <t>METLAKATLA</t>
  </si>
  <si>
    <t>BREVIG MISSION</t>
  </si>
  <si>
    <t>DIOMEDE</t>
  </si>
  <si>
    <t>ELIM</t>
  </si>
  <si>
    <t>GAMBELL</t>
  </si>
  <si>
    <t>GOLOVIN</t>
  </si>
  <si>
    <t>KOYUK</t>
  </si>
  <si>
    <t>SAVOONGA</t>
  </si>
  <si>
    <t>SHAKTOOLIK</t>
  </si>
  <si>
    <t>SHISHMAREF</t>
  </si>
  <si>
    <t>ST. MICHAEL</t>
  </si>
  <si>
    <t>STEBBINS</t>
  </si>
  <si>
    <t>TELLER</t>
  </si>
  <si>
    <t>UNALAKLEET</t>
  </si>
  <si>
    <t>WALES</t>
  </si>
  <si>
    <t>WHITE MOUNTAIN</t>
  </si>
  <si>
    <t>NAKNEK</t>
  </si>
  <si>
    <t>SOUTH NAKNEK</t>
  </si>
  <si>
    <t>ANGOON</t>
  </si>
  <si>
    <t>CORNER BAY</t>
  </si>
  <si>
    <t>CUBE COVE</t>
  </si>
  <si>
    <t>ELFIN COVE</t>
  </si>
  <si>
    <t>EIGHT FATHOM BIGHT</t>
  </si>
  <si>
    <t>FRESHWATER BAY</t>
  </si>
  <si>
    <t>GUSTAVUS</t>
  </si>
  <si>
    <t>HOBART BAY</t>
  </si>
  <si>
    <t>KLUKWAN</t>
  </si>
  <si>
    <t>TENAKEE</t>
  </si>
  <si>
    <t>CHENEGA BAY</t>
  </si>
  <si>
    <t>ICY BAY</t>
  </si>
  <si>
    <t>TATITLEK</t>
  </si>
  <si>
    <t>TWO MOON BAY</t>
  </si>
  <si>
    <t>WHITTIER</t>
  </si>
  <si>
    <t>STATE</t>
  </si>
  <si>
    <t>CCS</t>
  </si>
  <si>
    <t>CHISTOCHINA</t>
  </si>
  <si>
    <t>COPPER CENTER</t>
  </si>
  <si>
    <t>GAKONA</t>
  </si>
  <si>
    <t>GLENNALLEN</t>
  </si>
  <si>
    <t>KENNY LAKE</t>
  </si>
  <si>
    <t>NELCHINA</t>
  </si>
  <si>
    <t>PAXSON</t>
  </si>
  <si>
    <t>SLANA</t>
  </si>
  <si>
    <t>DELTA JUNCTION</t>
  </si>
  <si>
    <t>HEALY LAKE</t>
  </si>
  <si>
    <t>GERSTLE RIVER</t>
  </si>
  <si>
    <t>ANDERSON</t>
  </si>
  <si>
    <t>CANTWELL</t>
  </si>
  <si>
    <t>HEALY</t>
  </si>
  <si>
    <t>NORTH POLE</t>
  </si>
  <si>
    <t>SALCHA</t>
  </si>
  <si>
    <t>TWO RIVERS</t>
  </si>
  <si>
    <t>EIELSON</t>
  </si>
  <si>
    <t>MOSQUITO LAKE</t>
  </si>
  <si>
    <t>HOMESHORE</t>
  </si>
  <si>
    <t>ANVIK</t>
  </si>
  <si>
    <t>GRAYLING</t>
  </si>
  <si>
    <t>HOLY CROSS</t>
  </si>
  <si>
    <t>LAKE MINCHUMINA</t>
  </si>
  <si>
    <t>LIME VILLAGE</t>
  </si>
  <si>
    <t>MCGRATH</t>
  </si>
  <si>
    <t>NIKOLAI</t>
  </si>
  <si>
    <t>SHAGELUK</t>
  </si>
  <si>
    <t>TAKOTNA</t>
  </si>
  <si>
    <t>TELIDA</t>
  </si>
  <si>
    <t>CHEVAK</t>
  </si>
  <si>
    <t>ANCHOR POINT</t>
  </si>
  <si>
    <t>homer</t>
  </si>
  <si>
    <t>BELUGA</t>
  </si>
  <si>
    <t>COOPER LANDING</t>
  </si>
  <si>
    <t>ENGLISH BAY</t>
  </si>
  <si>
    <t>HOMER</t>
  </si>
  <si>
    <t>HOPE</t>
  </si>
  <si>
    <t>KASILOF</t>
  </si>
  <si>
    <t>soldotna</t>
  </si>
  <si>
    <t>KENAI</t>
  </si>
  <si>
    <t>MCNEIL CANYON</t>
  </si>
  <si>
    <t>MOOSE PASS</t>
  </si>
  <si>
    <t>NANWALEK</t>
  </si>
  <si>
    <t>NIKISKI</t>
  </si>
  <si>
    <t>NIKOLAEVSK</t>
  </si>
  <si>
    <t>NINILCHIK</t>
  </si>
  <si>
    <t>PORT GRAHAM</t>
  </si>
  <si>
    <t>SELDOVIA</t>
  </si>
  <si>
    <t>SEWARD</t>
  </si>
  <si>
    <t>SOLDOTNA</t>
  </si>
  <si>
    <t>STERLING</t>
  </si>
  <si>
    <t>TYONEK</t>
  </si>
  <si>
    <t>FRITZ CREEK</t>
  </si>
  <si>
    <t>WINDY BAY</t>
  </si>
  <si>
    <t>AKHIOK</t>
  </si>
  <si>
    <t>BIG SANDY LAKE</t>
  </si>
  <si>
    <t>CHINIAK</t>
  </si>
  <si>
    <t>DANGER BAY</t>
  </si>
  <si>
    <t>KARLUK</t>
  </si>
  <si>
    <t>KODIAK</t>
  </si>
  <si>
    <t>LARSEN BAY</t>
  </si>
  <si>
    <t>OLD HARBOR</t>
  </si>
  <si>
    <t>OUZINKIE</t>
  </si>
  <si>
    <t>PORT LIONS</t>
  </si>
  <si>
    <t>ANIAK</t>
  </si>
  <si>
    <t>CHUATHBALUK</t>
  </si>
  <si>
    <t>CROOKED CREEK</t>
  </si>
  <si>
    <t>RED DEVIL</t>
  </si>
  <si>
    <t>SLEETMUTE</t>
  </si>
  <si>
    <t>STONY RIVER</t>
  </si>
  <si>
    <t>UPPER KALSKAG</t>
  </si>
  <si>
    <t>L. kalskag</t>
  </si>
  <si>
    <t>LOWER KALSKAG</t>
  </si>
  <si>
    <t>CHIGNIK BAY</t>
  </si>
  <si>
    <t>CHIGNIK LAGOON</t>
  </si>
  <si>
    <t>CHIGNIK LAKE</t>
  </si>
  <si>
    <t>EGEGIK</t>
  </si>
  <si>
    <t>IGIUGIG</t>
  </si>
  <si>
    <t>IVANOF BAY</t>
  </si>
  <si>
    <t>KOKHANOK</t>
  </si>
  <si>
    <t>LEVELOK</t>
  </si>
  <si>
    <t>NEWHALEN</t>
  </si>
  <si>
    <t>NONDALTON</t>
  </si>
  <si>
    <t>PEDRO BAY</t>
  </si>
  <si>
    <t>PERRYVILLE</t>
  </si>
  <si>
    <t>PILOT POINT</t>
  </si>
  <si>
    <t>PORT ALSWORTH</t>
  </si>
  <si>
    <t>PORT HEIDEN</t>
  </si>
  <si>
    <t>AKIUK</t>
  </si>
  <si>
    <t>kasigluk</t>
  </si>
  <si>
    <t>AKULA</t>
  </si>
  <si>
    <t>ATMAUTLUAK</t>
  </si>
  <si>
    <t>BETHEL</t>
  </si>
  <si>
    <t>CHEFORNAK</t>
  </si>
  <si>
    <t>EEK</t>
  </si>
  <si>
    <t>GOODNEWS BAY</t>
  </si>
  <si>
    <t>KASIGLUK</t>
  </si>
  <si>
    <t>KIPNUK</t>
  </si>
  <si>
    <t>KONGIGANAK</t>
  </si>
  <si>
    <t>KWETHLUK</t>
  </si>
  <si>
    <t>KWIGILLINGOK</t>
  </si>
  <si>
    <t>MEKORYUK</t>
  </si>
  <si>
    <t>NAPAKIAK</t>
  </si>
  <si>
    <t>NAPASKIAK</t>
  </si>
  <si>
    <t>NEWTOK</t>
  </si>
  <si>
    <t>NIGHTMUTE</t>
  </si>
  <si>
    <t>NUNAPITCHUK</t>
  </si>
  <si>
    <t>OSCARVILLE</t>
  </si>
  <si>
    <t>PLATINUM</t>
  </si>
  <si>
    <t>QUINHAGAK</t>
  </si>
  <si>
    <t>TOKSOOK BAY</t>
  </si>
  <si>
    <t>TUNTUTULIAK</t>
  </si>
  <si>
    <t>TUNUNAK</t>
  </si>
  <si>
    <t>ALAKANUK</t>
  </si>
  <si>
    <t>EMMONAK</t>
  </si>
  <si>
    <t>HOOPER BAY</t>
  </si>
  <si>
    <t>KOTLIK</t>
  </si>
  <si>
    <t>MARSHALL</t>
  </si>
  <si>
    <t>PILOT STATION</t>
  </si>
  <si>
    <t>PITKAS POINT</t>
  </si>
  <si>
    <t>RUSSIAN MISSION</t>
  </si>
  <si>
    <t>SCAMMON BAY</t>
  </si>
  <si>
    <t>SHELDON POINT</t>
  </si>
  <si>
    <t>MT EDGECUMBE</t>
  </si>
  <si>
    <t>n/a</t>
  </si>
  <si>
    <t>BERYOZAVA</t>
  </si>
  <si>
    <t>BIG LAKE</t>
  </si>
  <si>
    <t>BUTTE</t>
  </si>
  <si>
    <t>palmer</t>
  </si>
  <si>
    <t>COLONY</t>
  </si>
  <si>
    <t>HOUSTON</t>
  </si>
  <si>
    <t>big lake</t>
  </si>
  <si>
    <t>SUSITNA VALLEY</t>
  </si>
  <si>
    <t>PALMER</t>
  </si>
  <si>
    <t>PT. MCKENZIE/GOOSE BAY</t>
  </si>
  <si>
    <t>wasilla</t>
  </si>
  <si>
    <t>SKWENTNA</t>
  </si>
  <si>
    <t>SUTTON</t>
  </si>
  <si>
    <t>TALKEETNA</t>
  </si>
  <si>
    <t>su-valley</t>
  </si>
  <si>
    <t>TRAPPER CREEK</t>
  </si>
  <si>
    <t>WASILLA</t>
  </si>
  <si>
    <t>WILLOW</t>
  </si>
  <si>
    <t>ANAKTUVUK PASS</t>
  </si>
  <si>
    <t>ATQASUK</t>
  </si>
  <si>
    <t>KAKTOVIK</t>
  </si>
  <si>
    <t>NUIQSUT</t>
  </si>
  <si>
    <t>POINT HOPE</t>
  </si>
  <si>
    <t>POINT LAY</t>
  </si>
  <si>
    <t>WAINWRIGHT</t>
  </si>
  <si>
    <t>AMBLER</t>
  </si>
  <si>
    <t>BUCKLAND</t>
  </si>
  <si>
    <t>DEERING</t>
  </si>
  <si>
    <t>KIANA</t>
  </si>
  <si>
    <t>KIVALINA</t>
  </si>
  <si>
    <t>KOBUK</t>
  </si>
  <si>
    <t>KOTZEBUE</t>
  </si>
  <si>
    <t>NOATAK</t>
  </si>
  <si>
    <t>NOORVIK</t>
  </si>
  <si>
    <t>SELAWIK</t>
  </si>
  <si>
    <t>SHUNGNAK</t>
  </si>
  <si>
    <t>ST. GEORGE</t>
  </si>
  <si>
    <t>ST. PAUL</t>
  </si>
  <si>
    <t>SKAGWAY</t>
  </si>
  <si>
    <t>BRUCE HILL</t>
  </si>
  <si>
    <t>CRAIK</t>
  </si>
  <si>
    <t>EDNA BAY</t>
  </si>
  <si>
    <t>FIRE COVE</t>
  </si>
  <si>
    <t>HOLLIS</t>
  </si>
  <si>
    <t>HYDER</t>
  </si>
  <si>
    <t>COFFMAN COVE</t>
  </si>
  <si>
    <t>JOHN GREEN</t>
  </si>
  <si>
    <t>JR GILDERSLEEVE</t>
  </si>
  <si>
    <t>KASAAN</t>
  </si>
  <si>
    <t>LABOUCHERE BAY</t>
  </si>
  <si>
    <t>LONG ISLAND</t>
  </si>
  <si>
    <t>NAUKATI</t>
  </si>
  <si>
    <t>POLK INLET</t>
  </si>
  <si>
    <t>PORT ALEXANDER</t>
  </si>
  <si>
    <t>PORT PROTECTION</t>
  </si>
  <si>
    <t>ROWEN BAY</t>
  </si>
  <si>
    <t>SMITH COVE</t>
  </si>
  <si>
    <t>THORNE BAY</t>
  </si>
  <si>
    <t>WHALE PASS</t>
  </si>
  <si>
    <t>ALEKNAGIK</t>
  </si>
  <si>
    <t>CLARKS POINT</t>
  </si>
  <si>
    <t>EKWOK</t>
  </si>
  <si>
    <t>KOLIGANEK</t>
  </si>
  <si>
    <t>LEVELOCK</t>
  </si>
  <si>
    <t>Moved to Lake and Peninsula School District</t>
  </si>
  <si>
    <t>MANOKOTAK</t>
  </si>
  <si>
    <t>NEW STUYAHOK</t>
  </si>
  <si>
    <t>PORTAGE CREEK</t>
  </si>
  <si>
    <t>TOGIAK</t>
  </si>
  <si>
    <t>TWIN HILLS</t>
  </si>
  <si>
    <t>ST. MARY'S</t>
  </si>
  <si>
    <t>ARCTIC VILLAGE</t>
  </si>
  <si>
    <t>BEAVER</t>
  </si>
  <si>
    <t>BIRCH CREEK</t>
  </si>
  <si>
    <t>CENTRAL</t>
  </si>
  <si>
    <t>CIRCLE</t>
  </si>
  <si>
    <t>FORT YUKON</t>
  </si>
  <si>
    <t>NORTHERN LIGHTS</t>
  </si>
  <si>
    <t>RAMPART</t>
  </si>
  <si>
    <t>STEVENS VILLAGE</t>
  </si>
  <si>
    <t>VENETIE</t>
  </si>
  <si>
    <t>ALLAKAKET</t>
  </si>
  <si>
    <t>BETTLES</t>
  </si>
  <si>
    <t>COLDFOOT</t>
  </si>
  <si>
    <t>HUGHES</t>
  </si>
  <si>
    <t>HUSLIA</t>
  </si>
  <si>
    <t>KALTAG</t>
  </si>
  <si>
    <t>KOYUKUK</t>
  </si>
  <si>
    <t>MANLEY HOT SPRINGS</t>
  </si>
  <si>
    <t>MINTO</t>
  </si>
  <si>
    <t>NULATO</t>
  </si>
  <si>
    <t>RUBY</t>
  </si>
  <si>
    <t>AKIAK</t>
  </si>
  <si>
    <t>TULUKSAK</t>
  </si>
  <si>
    <t>:ADM Year</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</si>
  <si>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</si>
  <si>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</si>
  <si>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</si>
  <si>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</si>
  <si>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</si>
  <si>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</si>
  <si>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</si>
  <si>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</si>
  <si>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</si>
  <si>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</si>
  <si>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</si>
  <si>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</si>
  <si>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</si>
  <si>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</si>
  <si>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</si>
  <si>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</si>
  <si>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</si>
  <si>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</si>
  <si>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</si>
  <si>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</si>
  <si>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</si>
  <si>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</si>
  <si>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</si>
  <si>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</si>
  <si>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</si>
  <si>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</si>
  <si>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</si>
  <si>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</si>
  <si>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</si>
  <si>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</si>
  <si>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</si>
  <si>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</si>
  <si>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</si>
  <si>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</si>
  <si>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</si>
  <si>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</si>
  <si>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</si>
  <si>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</si>
  <si>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</si>
  <si>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</si>
  <si>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</si>
  <si>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</si>
  <si>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2056-2057</t>
  </si>
  <si>
    <t>2057-2058</t>
  </si>
  <si>
    <t>2058-2059</t>
  </si>
  <si>
    <t>2059-2060</t>
  </si>
  <si>
    <t>2060-2061</t>
  </si>
  <si>
    <t>2061-2062</t>
  </si>
  <si>
    <t>2062-2063</t>
  </si>
  <si>
    <t>2063-2064</t>
  </si>
  <si>
    <t>2064-2065</t>
  </si>
  <si>
    <t>2065-2066</t>
  </si>
  <si>
    <t>2066-2067</t>
  </si>
  <si>
    <t>2067-2068</t>
  </si>
  <si>
    <t>2068-2069</t>
  </si>
  <si>
    <t>2069-2070</t>
  </si>
  <si>
    <t>2070-2071</t>
  </si>
  <si>
    <t>2071-2072</t>
  </si>
  <si>
    <t>2072-2073</t>
  </si>
  <si>
    <t>2073-2074</t>
  </si>
  <si>
    <t>2074-2075</t>
  </si>
  <si>
    <t>2075-2076</t>
  </si>
  <si>
    <t>2076-2077</t>
  </si>
  <si>
    <t>2077-2078</t>
  </si>
  <si>
    <t>2078-2079</t>
  </si>
  <si>
    <t>2079-2080</t>
  </si>
  <si>
    <t>2080-2081</t>
  </si>
  <si>
    <t>2081-2082</t>
  </si>
  <si>
    <t>2082-2083</t>
  </si>
  <si>
    <t>2083-2084</t>
  </si>
  <si>
    <t>2084-2085</t>
  </si>
  <si>
    <t>2085-2086</t>
  </si>
  <si>
    <t>2086-2087</t>
  </si>
  <si>
    <t>2087-2088</t>
  </si>
  <si>
    <t>2088-2089</t>
  </si>
  <si>
    <t>2089-2090</t>
  </si>
  <si>
    <t>2090-2091</t>
  </si>
  <si>
    <t>2091-2092</t>
  </si>
  <si>
    <t>2092-2093</t>
  </si>
  <si>
    <t>2093-2094</t>
  </si>
  <si>
    <t>2094-2095</t>
  </si>
  <si>
    <t>2095-2096</t>
  </si>
  <si>
    <t>2096-2097</t>
  </si>
  <si>
    <t>2097-2098</t>
  </si>
  <si>
    <t>2098-2099</t>
  </si>
  <si>
    <t>2099-2100</t>
  </si>
  <si>
    <t xml:space="preserve">  Attendance Area:</t>
  </si>
  <si>
    <t>* #</t>
  </si>
  <si>
    <t>Existing DEED designated GSF</t>
  </si>
  <si>
    <t xml:space="preserve">SH Eagle River High </t>
  </si>
  <si>
    <t>Goose Bay K-2</t>
  </si>
  <si>
    <t>Knik Elementary -  grades 3-5</t>
  </si>
  <si>
    <t>Mat-Su Career &amp; Tech Ed High School</t>
  </si>
  <si>
    <t>Mat-Su Day School</t>
  </si>
  <si>
    <t>Anvil City Science Academy</t>
  </si>
  <si>
    <t xml:space="preserve">Kobuk School K-12 </t>
  </si>
  <si>
    <t xml:space="preserve">SKAGWAY </t>
  </si>
  <si>
    <t>Platinum</t>
  </si>
  <si>
    <t>2008 ADM</t>
  </si>
  <si>
    <t>houston</t>
  </si>
  <si>
    <t>Alakanuk School</t>
  </si>
  <si>
    <t>Alakanuk</t>
  </si>
  <si>
    <t>Glennallen School [Jr/Sr HS]</t>
  </si>
  <si>
    <t>Cordova High School [Jr/Sr HS]</t>
  </si>
  <si>
    <t>Thunder Mountain High School</t>
  </si>
  <si>
    <t>Yaakoozge Daahakidi Alt High School</t>
  </si>
  <si>
    <t>Arviq School [Platinum]</t>
  </si>
  <si>
    <t>Kongiganak</t>
  </si>
  <si>
    <t>2009 ADM</t>
  </si>
  <si>
    <t>Port Alsworth</t>
  </si>
  <si>
    <t>K-6 Klatt  Elementary</t>
  </si>
  <si>
    <t>K-6 Kincaid Elementary</t>
  </si>
  <si>
    <t>Haines Elementary School K-8</t>
  </si>
  <si>
    <t xml:space="preserve">River City Academy </t>
  </si>
  <si>
    <t>Fred &amp; Sara Machetanz Elementary [K-5]</t>
  </si>
  <si>
    <t>2010 ADM</t>
  </si>
  <si>
    <t>L.Kalskag</t>
  </si>
  <si>
    <t>^</t>
  </si>
  <si>
    <t>Early Intervention Svcs, Directions, Mt. Iliamna, DeBarr Heights, Maplewood</t>
  </si>
  <si>
    <t>Koyuk Malimiut School</t>
  </si>
  <si>
    <t>Wales School (Kingikmiut)</t>
  </si>
  <si>
    <t>Sidney C. Huntington Elementary</t>
  </si>
  <si>
    <t>Sidney C. Huntington Jr/Sr HS</t>
  </si>
  <si>
    <t>Fronteras Charter School</t>
  </si>
  <si>
    <t>Birchtree Charter School</t>
  </si>
  <si>
    <t>Yakutat School K-12</t>
  </si>
  <si>
    <t>JBER</t>
  </si>
  <si>
    <t>2011 ADM</t>
  </si>
  <si>
    <t>Su-Valley</t>
  </si>
  <si>
    <t xml:space="preserve">K-6 Birchwood ABC </t>
  </si>
  <si>
    <t>K-6 Chester Valley Elementary (K-5)</t>
  </si>
  <si>
    <t>K-6 Chugiak Elementary (K-5)</t>
  </si>
  <si>
    <t>K-6 Creekside Park (K-5)</t>
  </si>
  <si>
    <t>K-6 Fire Lake Elementary (K-5)</t>
  </si>
  <si>
    <t>K-6 Girdwood School (K-8)</t>
  </si>
  <si>
    <t>K-6 Muldoon Elementary (K-5)</t>
  </si>
  <si>
    <t>K-8 Northern Lights ABC Elementary</t>
  </si>
  <si>
    <t>K-6 Scenic Park Elementary (K-5)</t>
  </si>
  <si>
    <t>K-6 Spring Hill Elementary</t>
  </si>
  <si>
    <t xml:space="preserve">K-6 Susitna Elementary </t>
  </si>
  <si>
    <t xml:space="preserve">MS  Clark Middle </t>
  </si>
  <si>
    <t>James C. Isabell School (Teller)</t>
  </si>
  <si>
    <t>Naknek Elementary</t>
  </si>
  <si>
    <t>Hoonah Elementary (K-6)</t>
  </si>
  <si>
    <t>Hoonah High School [Jr/Sr HS] (7-12)</t>
  </si>
  <si>
    <t>Blackwell School (Anvik)</t>
  </si>
  <si>
    <t>David-Louis Memorial School (Grayling)</t>
  </si>
  <si>
    <t>Innoko River School (Shageluk)</t>
  </si>
  <si>
    <t>Top of the Kuskokwim School (Nikolai)</t>
  </si>
  <si>
    <t>Cooper Landing School (K-12)</t>
  </si>
  <si>
    <t>Nikiski North Star Elementary School (K-5)</t>
  </si>
  <si>
    <t>Nikiski Middle/High School (5-12)</t>
  </si>
  <si>
    <t>Razdolna School  (Homer)</t>
  </si>
  <si>
    <t>Tebughna School (Tyonek)</t>
  </si>
  <si>
    <t>Voznesenka School (Fritz Creek)</t>
  </si>
  <si>
    <t>Marathon School (Kenai Youth Facility)</t>
  </si>
  <si>
    <t>Auntie Mary Nicoli Elementary (Aniak)</t>
  </si>
  <si>
    <t>Crow Village Sam School (Chuathbaluk)</t>
  </si>
  <si>
    <t>George Morgan Jr/Sr. High School (Lower Kalskag)</t>
  </si>
  <si>
    <t>Gusty Michael School (Stony River)</t>
  </si>
  <si>
    <t>Jack Egnaty Sr. School  (Sleetmute)</t>
  </si>
  <si>
    <t>Johnnie John Sr School (Crooked Creek)</t>
  </si>
  <si>
    <t>Joseph &amp; Olinga Gregory School (Kalskag)</t>
  </si>
  <si>
    <t>Zackar Levi Elementary School (Lower Kalskag)</t>
  </si>
  <si>
    <t>Anna Tobeluk Memorial School (Nunapitchuk)</t>
  </si>
  <si>
    <t>Ayaprun School (Newtok)</t>
  </si>
  <si>
    <t>Chief Paul Memorial  (Kipnuk)</t>
  </si>
  <si>
    <t>Ayagina'ar Elitnaurvik School (Kongiganak)</t>
  </si>
  <si>
    <t>Joann A. Alexie Memorial School (Atmautlak)</t>
  </si>
  <si>
    <t>Nelson Island School (Toksook Bay)</t>
  </si>
  <si>
    <t>Nuniwarmiut School (Meyoryuk)</t>
  </si>
  <si>
    <t>Paul T. Albert Memorial School (Tununak)</t>
  </si>
  <si>
    <t>Qugcuun Memorial School (Oscarville)</t>
  </si>
  <si>
    <t>Rocky Mountain School (Good News Bay)</t>
  </si>
  <si>
    <t>William N Miller Memorial (Napakiak)</t>
  </si>
  <si>
    <t>Z. John Williams Memorial School (Napaskiak)</t>
  </si>
  <si>
    <t>Beryozova School</t>
  </si>
  <si>
    <t>Butte School</t>
  </si>
  <si>
    <t>Finger Lake School</t>
  </si>
  <si>
    <t>Glacier View School</t>
  </si>
  <si>
    <t>Iditarod School</t>
  </si>
  <si>
    <t xml:space="preserve">American Charter Academy </t>
  </si>
  <si>
    <t>Kali School (Point Lay)</t>
  </si>
  <si>
    <t>Harold Kaveolook School (Kaktovik)</t>
  </si>
  <si>
    <t>Meade River School (Atqasuk)</t>
  </si>
  <si>
    <t>Nunamiut School (Anaktuvuk Pass)</t>
  </si>
  <si>
    <t>Tikigaq School (Point Hope)</t>
  </si>
  <si>
    <t>McQueen School (Kivalina)</t>
  </si>
  <si>
    <t>Napaaqtugmiut School (Noatak)</t>
  </si>
  <si>
    <t>Shungnak School</t>
  </si>
  <si>
    <t>Whale Pass School</t>
  </si>
  <si>
    <t>Chief Ivan Blunka (New Stuyahok)</t>
  </si>
  <si>
    <t>William "Sonny" Nelson School (Ekwok)</t>
  </si>
  <si>
    <t>Ella B. Vernetti (Koyukuk)</t>
  </si>
  <si>
    <t>Jimmy Huntington School (Huslia)</t>
  </si>
  <si>
    <t>Johnny Oldman School (Hughes)</t>
  </si>
  <si>
    <t>Merreline A. Kangas School (Ruby)</t>
  </si>
  <si>
    <t>Minto School</t>
  </si>
  <si>
    <t>Whale Pass</t>
  </si>
  <si>
    <t>2012 ADM</t>
  </si>
  <si>
    <t>Shishmaref</t>
  </si>
  <si>
    <t>Kuskokwim Learning Academy</t>
  </si>
  <si>
    <t>Nunapitchuk</t>
  </si>
  <si>
    <t>2013 ADM</t>
  </si>
  <si>
    <t>KACHEMAK</t>
  </si>
  <si>
    <t>Yakov E. Netsvetov School</t>
  </si>
  <si>
    <t>Stebbins School (Tukurngailnguq)</t>
  </si>
  <si>
    <t>New Horizons High School (Delta Jct)</t>
  </si>
  <si>
    <t>Kachemak Selo School (Kachemak)</t>
  </si>
  <si>
    <t>Ket'acik/Aapalluk Memorial School (Kwethluk)</t>
  </si>
  <si>
    <t>Negtemiut Elitnaurviat (Nightmute)</t>
  </si>
  <si>
    <t>Kuinerrarmiut Elitnaurviat School (Quinhagak)</t>
  </si>
  <si>
    <t>Andrew K. Demoski School (Nulato)</t>
  </si>
  <si>
    <t>2014 ADM</t>
  </si>
  <si>
    <t>RAAADOLNA</t>
  </si>
  <si>
    <t>ADM bZ Fiscal Zear</t>
  </si>
  <si>
    <t>su-valleZ</t>
  </si>
  <si>
    <t>MEZERS CHUCK</t>
  </si>
  <si>
    <t>Aurora Borealis Charter (Soldotna)</t>
  </si>
  <si>
    <t>Ayaprun Elitnaurvik Yup’ik Immersion (Bethel)</t>
  </si>
  <si>
    <t>East Elementary School (Kodiak)</t>
  </si>
  <si>
    <t>Gladys Jung Elementary (Bethel)</t>
  </si>
  <si>
    <t>Kalifornsky Beach Elementary (Soldotna)</t>
  </si>
  <si>
    <t>Main Elementary School (Kodiak)</t>
  </si>
  <si>
    <t>Mikelnguut Elitnaurviat (Bethel)</t>
  </si>
  <si>
    <t>Mountain View Elementary (Kenai)</t>
  </si>
  <si>
    <t>Nikolaevsk School (Nikolaevsk)</t>
  </si>
  <si>
    <t>Peterson Elementary School (Kodiak)</t>
  </si>
  <si>
    <t>Redoubt Elementary School (Soldotna)</t>
  </si>
  <si>
    <t>Susan B. English School (Seldovia)</t>
  </si>
  <si>
    <t>Tustumena Elementary School (Kasilof)</t>
  </si>
  <si>
    <t>MS  Nicholas J. Begich Middle School</t>
  </si>
  <si>
    <t>Mt. Edgecumbe School</t>
  </si>
  <si>
    <t>Chapman School (Anchor Point)</t>
  </si>
  <si>
    <t>School Name</t>
  </si>
  <si>
    <t>Total ADM</t>
  </si>
  <si>
    <t>Department of Education &amp; Early Development</t>
  </si>
  <si>
    <t>Alaska Native Charter School (K-7)</t>
  </si>
  <si>
    <t>Aquarian Charter (K-6)</t>
  </si>
  <si>
    <t>Highland Tech Charter (6-12)</t>
  </si>
  <si>
    <t>Winterberry Charter (K-8)</t>
  </si>
  <si>
    <t>Eagle Academy Charter  (K-6)</t>
  </si>
  <si>
    <t>Rilke Schule Charter (K-8)</t>
  </si>
  <si>
    <t>A.V.A.I.L. (9-12)</t>
  </si>
  <si>
    <t>Polaris (K-12)</t>
  </si>
  <si>
    <t>Steller Secondary (7-12)</t>
  </si>
  <si>
    <t>Benny Benson Secondary/S.E.A.R.C.H. (7-12)</t>
  </si>
  <si>
    <t>Crossroads School (7-12)</t>
  </si>
  <si>
    <t>S.A.V.E.</t>
  </si>
  <si>
    <t>Alaska School for Deaf &amp; Hearing Impaired (PK-12)</t>
  </si>
  <si>
    <t>The New Path High School (YOP)</t>
  </si>
  <si>
    <t>McLaughlin Youth Center (7-12)</t>
  </si>
  <si>
    <r>
      <t>*Reports to Whaley:</t>
    </r>
    <r>
      <rPr>
        <sz val="7"/>
        <rFont val="Times New Roman"/>
        <family val="1"/>
      </rPr>
      <t xml:space="preserve"> ACE/ACT, Jesse Lee Home, McKinley Heights, Booth Memorial, Outreach, Corrections, Bragaw Heights, Humphrey Heights, Turning Point Heights, Providence Heights,</t>
    </r>
  </si>
  <si>
    <t>Anthony A. Andrews School (St. Michael)</t>
  </si>
  <si>
    <t>Watershed Charter School</t>
  </si>
  <si>
    <t>Hyder</t>
  </si>
  <si>
    <t>Prepared by School Finance</t>
  </si>
  <si>
    <t>2015 ADM</t>
  </si>
  <si>
    <t>Whaley Center</t>
  </si>
  <si>
    <t>Hyder School</t>
  </si>
  <si>
    <t>Greatland Adventure Academy Charter</t>
  </si>
  <si>
    <t>Sterling Elementary School (Sterling)</t>
  </si>
  <si>
    <t>Skyview Middle School (Soldotna)</t>
  </si>
  <si>
    <t>McNeil Canyon Elementary (Homer)</t>
  </si>
  <si>
    <t>Paul Banks Elementary School (Homer)</t>
  </si>
  <si>
    <t>Chaputnguak School (Chefornak)</t>
  </si>
  <si>
    <t>K-6*</t>
  </si>
  <si>
    <t>*Eligible Pre-K students are included in the K-6 category (ie: eligible means those students that are SPED Pre-K or went through the Early Entry approval process)</t>
  </si>
  <si>
    <t>CHALKYITSIK</t>
  </si>
  <si>
    <t>Secondary+6</t>
  </si>
  <si>
    <t>2016 ADM</t>
  </si>
  <si>
    <t>Golden Heart Academy (FYF)</t>
  </si>
  <si>
    <t>Hydaburg School</t>
  </si>
  <si>
    <t xml:space="preserve">Joe Redington Senior Jr/Sr High School </t>
  </si>
  <si>
    <t>Rampart</t>
  </si>
  <si>
    <t>Danger Bay</t>
  </si>
  <si>
    <t>Rampart School</t>
  </si>
  <si>
    <t>Montessori Borealis Alt School</t>
  </si>
  <si>
    <t>MOUNTAIN VILLAGE</t>
  </si>
  <si>
    <t>FT. WAINWRIGHT</t>
  </si>
  <si>
    <t>Chenega Bay</t>
  </si>
  <si>
    <t>Igiugig</t>
  </si>
  <si>
    <t>Kokhanok</t>
  </si>
  <si>
    <t>Susitna Valley High School (6-12)</t>
  </si>
  <si>
    <t>4 AAC 31.020(e)(2) Additional GSF Allowances</t>
  </si>
  <si>
    <t>Allowance for Covered Exterior Areas:</t>
  </si>
  <si>
    <t xml:space="preserve">Allowance for Water/Sewer Storage &amp; Treatment: </t>
  </si>
  <si>
    <t>2017 ADM</t>
  </si>
  <si>
    <t xml:space="preserve">Dena'ina Elementary </t>
  </si>
  <si>
    <t>Delta Junction Elementary School (K-5)</t>
  </si>
  <si>
    <r>
      <rPr>
        <strike/>
        <sz val="10"/>
        <rFont val="Times New Roman"/>
        <family val="1"/>
      </rPr>
      <t>Tenakee Springs School</t>
    </r>
    <r>
      <rPr>
        <sz val="10"/>
        <rFont val="Times New Roman"/>
        <family val="1"/>
      </rPr>
      <t xml:space="preserve"> - CLOSED for FY17</t>
    </r>
  </si>
  <si>
    <t>Anchorage STrEaM Academy (6-8)</t>
  </si>
  <si>
    <t>YKSD</t>
  </si>
  <si>
    <t>RAMPPART</t>
  </si>
  <si>
    <t>FY2018 ADM Report</t>
  </si>
  <si>
    <t>Prepared 2/6/2018</t>
  </si>
  <si>
    <t>Alaska Middle College School [pending]</t>
  </si>
  <si>
    <t>Delta Junction Jr High School (6-8)</t>
  </si>
  <si>
    <t>Delta Junction Sr High School (9-12)</t>
  </si>
  <si>
    <r>
      <rPr>
        <strike/>
        <sz val="10"/>
        <rFont val="Times New Roman"/>
        <family val="1"/>
      </rPr>
      <t>New Horizons High School (Delta Jct)</t>
    </r>
    <r>
      <rPr>
        <sz val="10"/>
        <rFont val="Times New Roman"/>
        <family val="1"/>
      </rPr>
      <t xml:space="preserve"> CLOSED FY17</t>
    </r>
  </si>
  <si>
    <t>Boreal Sun Charter School</t>
  </si>
  <si>
    <t>Midnight Sun Elementary School</t>
  </si>
  <si>
    <t>Sayeik: Gastineau Community School</t>
  </si>
  <si>
    <t>Homer High School</t>
  </si>
  <si>
    <t>Soldotna High School</t>
  </si>
  <si>
    <t>Soldtona Prep School</t>
  </si>
  <si>
    <r>
      <rPr>
        <strike/>
        <sz val="10"/>
        <rFont val="Times New Roman"/>
        <family val="1"/>
      </rPr>
      <t>Danger Bay School</t>
    </r>
    <r>
      <rPr>
        <sz val="10"/>
        <rFont val="Times New Roman"/>
        <family val="1"/>
      </rPr>
      <t xml:space="preserve"> [CLOSED FY18]</t>
    </r>
  </si>
  <si>
    <t>Lewis Angapak Memorial School (Tuntutuliak)</t>
  </si>
  <si>
    <t>Sayeik: GastineauCommunity School (K-5)</t>
  </si>
  <si>
    <t>Sheldon Point School (Nunam Iqua)</t>
  </si>
  <si>
    <t>Willow Elementary School</t>
  </si>
  <si>
    <t>Mat-Su Middle College School</t>
  </si>
  <si>
    <r>
      <rPr>
        <strike/>
        <sz val="10"/>
        <rFont val="Times New Roman"/>
        <family val="1"/>
      </rPr>
      <t>Saint George Island School K-12</t>
    </r>
    <r>
      <rPr>
        <sz val="10"/>
        <rFont val="Times New Roman"/>
        <family val="1"/>
      </rPr>
      <t xml:space="preserve"> [CLOSED FY18]</t>
    </r>
  </si>
  <si>
    <t>Blatchely Middle School</t>
  </si>
  <si>
    <t>Pacific High School (Alternative)</t>
  </si>
  <si>
    <t>Clarks Point School</t>
  </si>
  <si>
    <t>Clarks Point</t>
  </si>
  <si>
    <t>20-xxx</t>
  </si>
  <si>
    <t>2018 ADM</t>
  </si>
  <si>
    <t>TANADROSS</t>
  </si>
  <si>
    <t>CHUGADH</t>
  </si>
  <si>
    <t>GLADIER VIEW</t>
  </si>
  <si>
    <t>AKIADHAK</t>
  </si>
  <si>
    <t>Dist Total</t>
  </si>
  <si>
    <t>previous yr ADM change</t>
  </si>
  <si>
    <t>8-Yr Avg Annual ADM Change</t>
  </si>
  <si>
    <t>Aniguiin School (Elim)</t>
  </si>
  <si>
    <t>Utqiagvik</t>
  </si>
  <si>
    <t>UTQIAGVIK</t>
  </si>
  <si>
    <t>Future school projections based on school ADM population for the 2017-2018 school year of:</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</si>
</sst>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quot;- &quot;"/>
    <numFmt numFmtId="165" formatCode="###0\ &quot;- &quot;"/>
    <numFmt numFmtId="166" formatCode="0.0"/>
    <numFmt numFmtId="167" formatCode="###0\ &quot;sq. ft.&quot;"/>
    <numFmt numFmtId="168" formatCode="0.000000000"/>
    <numFmt numFmtId="169" formatCode="0.0000"/>
    <numFmt numFmtId="170" formatCode="###0\ &quot;sq.ft.&quot;"/>
    <numFmt numFmtId="171" formatCode="#,##0\ &quot;SF&quot;"/>
    <numFmt numFmtId="172" formatCode="&quot;FY&quot;####"/>
    <numFmt numFmtId="173" formatCode="0_);\(0\)"/>
    <numFmt numFmtId="174" formatCode="0.000"/>
    <numFmt numFmtId="175" formatCode="&quot;$&quot;#,##0.00"/>
    <numFmt numFmtId="176" formatCode="&quot;$&quot;#,##0"/>
    <numFmt numFmtId="177" formatCode="0.00_);\(0.00\)"/>
    <numFmt numFmtId="178" formatCode="#,##0.000"/>
    <numFmt numFmtId="179" formatCode="m\-d\-yy"/>
    <numFmt numFmtId="180" formatCode="m\-d\-yy\ h:mm"/>
    <numFmt numFmtId="181" formatCode="&quot;$&quot;#,##0._);[Red]\(&quot;$&quot;#,##0.\)"/>
    <numFmt numFmtId="182" formatCode="#,##0.0"/>
    <numFmt numFmtId="183" formatCode="0.0%"/>
    <numFmt numFmtId="184" formatCode="#,##0.0_);\(#,##0.0\)"/>
    <numFmt numFmtId="185" formatCode="#,##0.0000"/>
    <numFmt numFmtId="186" formatCode="#,##0.00000"/>
    <numFmt numFmtId="187" formatCode="#,##0.000000"/>
    <numFmt numFmtId="188" formatCode="m/d"/>
    <numFmt numFmtId="189" formatCode="&quot;$&quot;#,##0.0_);[Red]\(&quot;$&quot;#,##0.0\)"/>
    <numFmt numFmtId="190" formatCode="0.000%"/>
    <numFmt numFmtId="191" formatCode="0.00000"/>
    <numFmt numFmtId="192" formatCode="#,##0.0000000"/>
    <numFmt numFmtId="193" formatCode="#,##0.00000000"/>
    <numFmt numFmtId="194" formatCode="0.0000%"/>
    <numFmt numFmtId="195" formatCode="0.00000%"/>
    <numFmt numFmtId="196" formatCode="0.000000%"/>
    <numFmt numFmtId="197" formatCode="#,##0.000_);\(#,##0.000\)"/>
    <numFmt numFmtId="198" formatCode="&quot;$&quot;#,##0.000_);[Red]\(&quot;$&quot;#,##0.000\)"/>
    <numFmt numFmtId="199" formatCode="&quot;$&quot;#,##0.0000_);[Red]\(&quot;$&quot;#,##0.0000\)"/>
    <numFmt numFmtId="200" formatCode="_(* #,##0_);_(* \(#,##0\);_(* &quot;-&quot;??_);_(@_)"/>
    <numFmt numFmtId="201" formatCode="_(* #,##0.0000_);_(* \(#,##0.0000\);_(* &quot;-&quot;????_);_(@_)"/>
    <numFmt numFmtId="202" formatCode="00000"/>
    <numFmt numFmtId="203" formatCode="_(* #,##0.000_);_(* \(#,##0.000\);_(* &quot;-&quot;???_);_(@_)"/>
    <numFmt numFmtId="204" formatCode="_(* #,##0.000000_);_(* \(#,##0.000000\);_(* &quot;-&quot;??????_);_(@_)"/>
    <numFmt numFmtId="205" formatCode="0.00_);[Red]\(0.00\)"/>
    <numFmt numFmtId="206" formatCode="0_);[Red]\(0\)"/>
    <numFmt numFmtId="207" formatCode="_(* #,##0.0_);_(* \(#,##0.0\);_(* &quot;-&quot;?_);_(@_)"/>
    <numFmt numFmtId="208" formatCode="_(* #,##0.00000_);_(* \(#,##0.00000\);_(* &quot;-&quot;?????_);_(@_)"/>
    <numFmt numFmtId="209" formatCode="#,##0.0000000000000"/>
    <numFmt numFmtId="210" formatCode="#,##0.0000_);\(#,##0.0000\)"/>
    <numFmt numFmtId="211" formatCode="0.0_)"/>
    <numFmt numFmtId="212" formatCode="mmmm\ d\,\ yyyy"/>
    <numFmt numFmtId="213" formatCode="mm/dd/yy"/>
    <numFmt numFmtId="214" formatCode="&quot;$&quot;#,##0.0_);\(&quot;$&quot;#,##0.0\)"/>
    <numFmt numFmtId="215" formatCode="0.0_);\(0.0\)"/>
    <numFmt numFmtId="216" formatCode="0.000_);\(0.000\)"/>
    <numFmt numFmtId="217" formatCode="_(&quot;$&quot;* #,##0.000_);_(&quot;$&quot;* \(#,##0.000\);_(&quot;$&quot;* &quot;-&quot;??_);_(@_)"/>
    <numFmt numFmtId="218" formatCode="_(&quot;$&quot;* #,##0.0_);_(&quot;$&quot;* \(#,##0.0\);_(&quot;$&quot;* &quot;-&quot;??_);_(@_)"/>
    <numFmt numFmtId="219" formatCode="_(&quot;$&quot;* #,##0_);_(&quot;$&quot;* \(#,##0\);_(&quot;$&quot;* &quot;-&quot;??_);_(@_)"/>
    <numFmt numFmtId="220" formatCode="_(* #,##0.0_);_(* \(#,##0.0\);_(* &quot;-&quot;??_);_(@_)"/>
    <numFmt numFmtId="221" formatCode="0.000000"/>
  </numFmts>
  <fonts count="84">
    <font>
      <sz val="10"/>
      <name val="Arial"/>
      <family val="0"/>
    </font>
    <font>
      <b/>
      <sz val="10"/>
      <name val="Arial"/>
      <family val="0"/>
    </font>
    <font>
      <i/>
      <sz val="10"/>
      <name val="Arial"/>
      <family val="0"/>
    </font>
    <font>
      <b/>
      <i/>
      <sz val="10"/>
      <name val="Arial"/>
      <family val="0"/>
    </font>
    <font>
      <sz val="16"/>
      <name val="Arial"/>
      <family val="2"/>
    </font>
    <font>
      <b/>
      <sz val="8"/>
      <name val="Arial"/>
      <family val="2"/>
    </font>
    <font>
      <sz val="8"/>
      <name val="Arial"/>
      <family val="2"/>
    </font>
    <font>
      <sz val="18"/>
      <color indexed="9"/>
      <name val="Palatino"/>
      <family val="1"/>
    </font>
    <font>
      <sz val="10"/>
      <color indexed="16"/>
      <name val="Arial"/>
      <family val="2"/>
    </font>
    <font>
      <u val="single"/>
      <sz val="10"/>
      <color indexed="12"/>
      <name val="Arial"/>
      <family val="2"/>
    </font>
    <font>
      <u val="single"/>
      <sz val="10"/>
      <color indexed="36"/>
      <name val="Arial"/>
      <family val="2"/>
    </font>
    <font>
      <b/>
      <sz val="11"/>
      <name val="Arial"/>
      <family val="2"/>
    </font>
    <font>
      <b/>
      <sz val="10"/>
      <color indexed="16"/>
      <name val="Arial"/>
      <family val="2"/>
    </font>
    <font>
      <sz val="10"/>
      <color indexed="9"/>
      <name val="Arial"/>
      <family val="2"/>
    </font>
    <font>
      <sz val="18"/>
      <name val="Palatino"/>
      <family val="1"/>
    </font>
    <font>
      <b/>
      <sz val="14"/>
      <name val="Palatino"/>
      <family val="1"/>
    </font>
    <font>
      <b/>
      <sz val="8"/>
      <name val="Palatino"/>
      <family val="1"/>
    </font>
    <font>
      <b/>
      <sz val="10"/>
      <color indexed="8"/>
      <name val="Arial"/>
      <family val="2"/>
    </font>
    <font>
      <b/>
      <sz val="8"/>
      <color indexed="8"/>
      <name val="Arial"/>
      <family val="2"/>
    </font>
    <font>
      <sz val="10"/>
      <color indexed="8"/>
      <name val="Arial"/>
      <family val="2"/>
    </font>
    <font>
      <sz val="10"/>
      <name val="Times New Roman"/>
      <family val="1"/>
    </font>
    <font>
      <b/>
      <sz val="10"/>
      <name val="Times New Roman"/>
      <family val="1"/>
    </font>
    <font>
      <sz val="10"/>
      <color indexed="10"/>
      <name val="Times New Roman"/>
      <family val="1"/>
    </font>
    <font>
      <sz val="10"/>
      <color indexed="12"/>
      <name val="Times New Roman"/>
      <family val="1"/>
    </font>
    <font>
      <b/>
      <sz val="10"/>
      <color indexed="12"/>
      <name val="Times New Roman"/>
      <family val="1"/>
    </font>
    <font>
      <sz val="10"/>
      <color indexed="14"/>
      <name val="Times New Roman"/>
      <family val="1"/>
    </font>
    <font>
      <sz val="10"/>
      <name val="Helv"/>
      <family val="0"/>
    </font>
    <font>
      <b/>
      <sz val="10"/>
      <color indexed="10"/>
      <name val="Times New Roman"/>
      <family val="1"/>
    </font>
    <font>
      <sz val="10"/>
      <color indexed="48"/>
      <name val="Times New Roman"/>
      <family val="1"/>
    </font>
    <font>
      <b/>
      <sz val="8"/>
      <name val="Tahoma"/>
      <family val="2"/>
    </font>
    <font>
      <sz val="8"/>
      <name val="Tahoma"/>
      <family val="2"/>
    </font>
    <font>
      <sz val="14"/>
      <name val="Helv"/>
      <family val="0"/>
    </font>
    <font>
      <b/>
      <sz val="8"/>
      <color indexed="10"/>
      <name val="Arial"/>
      <family val="2"/>
    </font>
    <font>
      <sz val="8"/>
      <color indexed="10"/>
      <name val="Arial"/>
      <family val="2"/>
    </font>
    <font>
      <sz val="10"/>
      <color indexed="10"/>
      <name val="Arial"/>
      <family val="2"/>
    </font>
    <font>
      <sz val="8"/>
      <color indexed="8"/>
      <name val="Arial"/>
      <family val="2"/>
    </font>
    <font>
      <sz val="6"/>
      <name val="Arial"/>
      <family val="2"/>
    </font>
    <font>
      <sz val="12"/>
      <name val="Arial"/>
      <family val="2"/>
    </font>
    <font>
      <i/>
      <sz val="10"/>
      <name val="Times New Roman"/>
      <family val="1"/>
    </font>
    <font>
      <sz val="7"/>
      <name val="Times New Roman"/>
      <family val="1"/>
    </font>
    <font>
      <strike/>
      <sz val="10"/>
      <name val="Times New Roman"/>
      <family val="1"/>
    </font>
    <font>
      <sz val="10"/>
      <name val="Tahoma"/>
      <family val="2"/>
    </font>
    <font>
      <b/>
      <sz val="10"/>
      <name val="Tahoma"/>
      <family val="2"/>
    </font>
    <font>
      <b/>
      <sz val="18"/>
      <name val="Times New Roman"/>
      <family val="1"/>
    </font>
    <font>
      <b/>
      <sz val="9"/>
      <name val="Tahoma"/>
      <family val="2"/>
    </font>
    <font>
      <sz val="9"/>
      <name val="Tahoma"/>
      <family val="2"/>
    </font>
    <font>
      <b/>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theme="0" tint="-0.2499700039625167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thin"/>
      <top>
        <color indexed="63"/>
      </top>
      <bottom>
        <color indexed="63"/>
      </bottom>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double"/>
      <bottom style="thin"/>
    </border>
    <border>
      <left>
        <color indexed="63"/>
      </left>
      <right>
        <color indexed="63"/>
      </right>
      <top style="double"/>
      <bottom>
        <color indexed="63"/>
      </bottom>
    </border>
    <border>
      <left>
        <color indexed="63"/>
      </left>
      <right style="medium"/>
      <top>
        <color indexed="63"/>
      </top>
      <bottom style="thin"/>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thick"/>
      <right style="thick"/>
      <top style="thick"/>
      <bottom style="thick"/>
    </border>
    <border>
      <left style="medium"/>
      <right>
        <color indexed="63"/>
      </right>
      <top style="double"/>
      <bottom style="thin"/>
    </border>
    <border>
      <left>
        <color indexed="63"/>
      </left>
      <right style="thin"/>
      <top style="thin"/>
      <bottom style="thin"/>
    </border>
    <border>
      <left>
        <color indexed="63"/>
      </left>
      <right style="thick"/>
      <top style="double"/>
      <bottom style="thin"/>
    </border>
    <border>
      <left>
        <color indexed="63"/>
      </left>
      <right style="thick"/>
      <top style="thin"/>
      <bottom style="thin"/>
    </border>
    <border>
      <left>
        <color indexed="63"/>
      </left>
      <right style="thick"/>
      <top>
        <color indexed="63"/>
      </top>
      <bottom style="double"/>
    </border>
    <border>
      <left>
        <color indexed="63"/>
      </left>
      <right style="thick"/>
      <top>
        <color indexed="63"/>
      </top>
      <bottom>
        <color indexed="63"/>
      </bottom>
    </border>
    <border>
      <left style="medium"/>
      <right style="medium"/>
      <top style="medium"/>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68">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left"/>
    </xf>
    <xf numFmtId="0" fontId="0" fillId="33" borderId="13" xfId="0" applyFill="1" applyBorder="1" applyAlignment="1">
      <alignment/>
    </xf>
    <xf numFmtId="0" fontId="0" fillId="33" borderId="10" xfId="0" applyFill="1" applyBorder="1" applyAlignment="1">
      <alignment/>
    </xf>
    <xf numFmtId="0" fontId="7" fillId="34" borderId="14" xfId="0" applyFont="1" applyFill="1" applyBorder="1" applyAlignment="1">
      <alignment horizontal="centerContinuous"/>
    </xf>
    <xf numFmtId="0" fontId="4" fillId="34" borderId="15" xfId="0" applyFont="1" applyFill="1" applyBorder="1" applyAlignment="1">
      <alignment horizontal="centerContinuous"/>
    </xf>
    <xf numFmtId="0" fontId="0" fillId="34" borderId="15" xfId="0" applyFill="1" applyBorder="1" applyAlignment="1">
      <alignment horizontal="centerContinuous"/>
    </xf>
    <xf numFmtId="0" fontId="0" fillId="34" borderId="16" xfId="0" applyFill="1" applyBorder="1" applyAlignment="1">
      <alignment horizontal="centerContinuous"/>
    </xf>
    <xf numFmtId="0" fontId="7" fillId="0" borderId="12" xfId="0" applyFont="1" applyFill="1" applyBorder="1" applyAlignment="1">
      <alignment horizontal="centerContinuous"/>
    </xf>
    <xf numFmtId="0" fontId="4" fillId="0" borderId="0" xfId="0" applyFont="1" applyFill="1" applyBorder="1" applyAlignment="1">
      <alignment horizontal="centerContinuous"/>
    </xf>
    <xf numFmtId="0" fontId="0" fillId="0" borderId="0" xfId="0" applyFill="1" applyBorder="1" applyAlignment="1">
      <alignment horizontal="centerContinuous"/>
    </xf>
    <xf numFmtId="0" fontId="0" fillId="0" borderId="17" xfId="0" applyFill="1" applyBorder="1" applyAlignment="1">
      <alignment horizontal="centerContinuous"/>
    </xf>
    <xf numFmtId="0" fontId="8" fillId="35" borderId="0" xfId="0" applyFont="1" applyFill="1" applyBorder="1" applyAlignment="1" applyProtection="1">
      <alignment/>
      <protection locked="0"/>
    </xf>
    <xf numFmtId="17" fontId="8" fillId="35" borderId="0" xfId="0" applyNumberFormat="1" applyFont="1" applyFill="1" applyBorder="1" applyAlignment="1" applyProtection="1">
      <alignment/>
      <protection locked="0"/>
    </xf>
    <xf numFmtId="0" fontId="0" fillId="0" borderId="0" xfId="0" applyFill="1" applyBorder="1" applyAlignment="1">
      <alignment/>
    </xf>
    <xf numFmtId="0" fontId="1" fillId="0" borderId="0" xfId="0" applyFont="1"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166" fontId="0" fillId="0" borderId="0" xfId="0" applyNumberFormat="1" applyFill="1" applyBorder="1" applyAlignment="1">
      <alignment/>
    </xf>
    <xf numFmtId="1" fontId="0" fillId="0" borderId="0" xfId="0" applyNumberFormat="1" applyFill="1" applyBorder="1" applyAlignment="1">
      <alignment horizontal="right"/>
    </xf>
    <xf numFmtId="171" fontId="0" fillId="0" borderId="0" xfId="0" applyNumberFormat="1" applyFill="1" applyBorder="1" applyAlignment="1">
      <alignment/>
    </xf>
    <xf numFmtId="1" fontId="0" fillId="0" borderId="0" xfId="0" applyNumberFormat="1" applyFill="1" applyBorder="1" applyAlignment="1">
      <alignment/>
    </xf>
    <xf numFmtId="0" fontId="0" fillId="0" borderId="11" xfId="0" applyFill="1" applyBorder="1" applyAlignment="1">
      <alignment/>
    </xf>
    <xf numFmtId="0" fontId="5" fillId="0" borderId="19" xfId="0" applyFont="1" applyFill="1" applyBorder="1" applyAlignment="1">
      <alignment horizontal="center"/>
    </xf>
    <xf numFmtId="0" fontId="5" fillId="0" borderId="12" xfId="0" applyFont="1" applyFill="1" applyBorder="1" applyAlignment="1">
      <alignment horizontal="center"/>
    </xf>
    <xf numFmtId="0" fontId="6" fillId="0" borderId="12" xfId="0" applyFont="1" applyFill="1" applyBorder="1" applyAlignment="1">
      <alignment/>
    </xf>
    <xf numFmtId="0" fontId="0" fillId="0" borderId="12" xfId="0" applyFill="1" applyBorder="1" applyAlignment="1">
      <alignment horizontal="center"/>
    </xf>
    <xf numFmtId="0" fontId="0" fillId="0" borderId="12" xfId="0" applyFill="1" applyBorder="1" applyAlignment="1">
      <alignment/>
    </xf>
    <xf numFmtId="0" fontId="5" fillId="0" borderId="20" xfId="0" applyFont="1" applyFill="1" applyBorder="1" applyAlignment="1">
      <alignment horizontal="center"/>
    </xf>
    <xf numFmtId="0" fontId="5" fillId="0" borderId="17" xfId="0" applyFont="1" applyFill="1" applyBorder="1" applyAlignment="1">
      <alignment horizontal="center"/>
    </xf>
    <xf numFmtId="0" fontId="6" fillId="0" borderId="17" xfId="0" applyFont="1" applyFill="1" applyBorder="1" applyAlignment="1">
      <alignment/>
    </xf>
    <xf numFmtId="0" fontId="0" fillId="0" borderId="17" xfId="0" applyFill="1" applyBorder="1" applyAlignment="1">
      <alignment/>
    </xf>
    <xf numFmtId="171" fontId="1" fillId="0" borderId="17" xfId="0" applyNumberFormat="1" applyFont="1" applyFill="1" applyBorder="1" applyAlignment="1">
      <alignment/>
    </xf>
    <xf numFmtId="171" fontId="0" fillId="0" borderId="17" xfId="0" applyNumberFormat="1" applyFill="1" applyBorder="1" applyAlignment="1">
      <alignment horizontal="right"/>
    </xf>
    <xf numFmtId="171" fontId="8" fillId="35" borderId="0" xfId="0" applyNumberFormat="1" applyFont="1" applyFill="1" applyBorder="1" applyAlignment="1" applyProtection="1">
      <alignment/>
      <protection locked="0"/>
    </xf>
    <xf numFmtId="0" fontId="0" fillId="0" borderId="0" xfId="0" applyFill="1" applyBorder="1" applyAlignment="1">
      <alignment horizontal="left"/>
    </xf>
    <xf numFmtId="166" fontId="11" fillId="0" borderId="0" xfId="0" applyNumberFormat="1" applyFont="1" applyFill="1" applyBorder="1" applyAlignment="1">
      <alignment vertical="center"/>
    </xf>
    <xf numFmtId="0" fontId="11" fillId="0" borderId="0" xfId="0" applyFont="1" applyFill="1" applyBorder="1" applyAlignment="1">
      <alignment vertical="center"/>
    </xf>
    <xf numFmtId="0" fontId="11" fillId="0" borderId="12" xfId="0" applyFont="1" applyFill="1" applyBorder="1" applyAlignment="1">
      <alignment horizontal="center" vertical="center"/>
    </xf>
    <xf numFmtId="1" fontId="11" fillId="0" borderId="0" xfId="0" applyNumberFormat="1" applyFont="1" applyFill="1" applyBorder="1" applyAlignment="1">
      <alignment vertical="center"/>
    </xf>
    <xf numFmtId="0" fontId="11" fillId="0" borderId="0" xfId="0" applyFont="1" applyFill="1" applyBorder="1" applyAlignment="1">
      <alignment horizontal="left" vertical="center"/>
    </xf>
    <xf numFmtId="171" fontId="11" fillId="0" borderId="21" xfId="0" applyNumberFormat="1" applyFont="1" applyFill="1" applyBorder="1" applyAlignment="1">
      <alignment vertical="center"/>
    </xf>
    <xf numFmtId="0" fontId="11" fillId="0" borderId="17" xfId="0" applyFont="1" applyFill="1" applyBorder="1" applyAlignment="1">
      <alignment vertical="center"/>
    </xf>
    <xf numFmtId="0" fontId="1" fillId="0" borderId="0" xfId="0" applyFont="1" applyFill="1" applyBorder="1" applyAlignment="1">
      <alignment/>
    </xf>
    <xf numFmtId="166" fontId="0" fillId="0" borderId="0" xfId="0" applyNumberFormat="1" applyFill="1" applyBorder="1" applyAlignment="1">
      <alignment vertical="center"/>
    </xf>
    <xf numFmtId="0" fontId="0" fillId="0" borderId="0" xfId="0" applyFill="1" applyBorder="1" applyAlignment="1">
      <alignment vertical="center"/>
    </xf>
    <xf numFmtId="0" fontId="0" fillId="0" borderId="12" xfId="0" applyFill="1" applyBorder="1" applyAlignment="1">
      <alignment horizontal="center" vertical="center"/>
    </xf>
    <xf numFmtId="1" fontId="0" fillId="0" borderId="0" xfId="0" applyNumberFormat="1" applyFill="1" applyBorder="1" applyAlignment="1">
      <alignment horizontal="right" vertical="center"/>
    </xf>
    <xf numFmtId="0" fontId="1" fillId="0" borderId="0" xfId="0" applyFont="1" applyBorder="1" applyAlignment="1">
      <alignment horizontal="left" vertical="center"/>
    </xf>
    <xf numFmtId="0" fontId="1" fillId="0" borderId="0" xfId="0" applyFont="1" applyFill="1" applyBorder="1" applyAlignment="1">
      <alignment vertical="center"/>
    </xf>
    <xf numFmtId="171" fontId="1" fillId="0" borderId="0" xfId="0" applyNumberFormat="1" applyFont="1" applyFill="1" applyBorder="1" applyAlignment="1">
      <alignment horizontal="right" vertical="center"/>
    </xf>
    <xf numFmtId="0" fontId="0" fillId="0" borderId="17" xfId="0" applyFill="1" applyBorder="1" applyAlignment="1">
      <alignment vertical="center"/>
    </xf>
    <xf numFmtId="10" fontId="11" fillId="0" borderId="21" xfId="0" applyNumberFormat="1" applyFont="1" applyFill="1" applyBorder="1" applyAlignment="1">
      <alignment vertical="center"/>
    </xf>
    <xf numFmtId="2" fontId="0" fillId="0" borderId="0" xfId="0" applyNumberFormat="1" applyFill="1" applyBorder="1" applyAlignment="1">
      <alignment/>
    </xf>
    <xf numFmtId="2"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0" fontId="8" fillId="35" borderId="0" xfId="0" applyFont="1" applyFill="1" applyBorder="1" applyAlignment="1" applyProtection="1">
      <alignment/>
      <protection/>
    </xf>
    <xf numFmtId="0" fontId="8" fillId="0" borderId="17" xfId="0" applyFont="1" applyFill="1" applyBorder="1" applyAlignment="1" applyProtection="1">
      <alignment/>
      <protection/>
    </xf>
    <xf numFmtId="171" fontId="8" fillId="0" borderId="17" xfId="0" applyNumberFormat="1" applyFont="1" applyFill="1" applyBorder="1" applyAlignment="1" applyProtection="1">
      <alignment/>
      <protection/>
    </xf>
    <xf numFmtId="17" fontId="8" fillId="35" borderId="0" xfId="0" applyNumberFormat="1" applyFont="1" applyFill="1" applyBorder="1" applyAlignment="1" applyProtection="1">
      <alignment/>
      <protection/>
    </xf>
    <xf numFmtId="0" fontId="1" fillId="35" borderId="0" xfId="0" applyFont="1" applyFill="1" applyBorder="1" applyAlignment="1" applyProtection="1">
      <alignment/>
      <protection/>
    </xf>
    <xf numFmtId="171" fontId="0" fillId="0" borderId="17" xfId="0" applyNumberFormat="1" applyFill="1" applyBorder="1" applyAlignment="1" applyProtection="1">
      <alignment horizontal="right"/>
      <protection/>
    </xf>
    <xf numFmtId="0" fontId="0" fillId="0" borderId="0" xfId="0" applyFont="1" applyAlignment="1" applyProtection="1">
      <alignment/>
      <protection/>
    </xf>
    <xf numFmtId="0" fontId="4" fillId="0" borderId="0" xfId="0" applyFont="1" applyAlignment="1" applyProtection="1">
      <alignment horizontal="left"/>
      <protection/>
    </xf>
    <xf numFmtId="0" fontId="0" fillId="0" borderId="0" xfId="0" applyFont="1" applyAlignment="1" applyProtection="1">
      <alignment horizontal="left"/>
      <protection/>
    </xf>
    <xf numFmtId="0" fontId="14" fillId="0" borderId="0" xfId="0" applyFont="1" applyAlignment="1" applyProtection="1">
      <alignment/>
      <protection/>
    </xf>
    <xf numFmtId="0" fontId="7" fillId="34" borderId="14" xfId="0" applyFont="1" applyFill="1" applyBorder="1" applyAlignment="1" applyProtection="1">
      <alignment horizontal="centerContinuous"/>
      <protection/>
    </xf>
    <xf numFmtId="0" fontId="14" fillId="34" borderId="15" xfId="0" applyFont="1" applyFill="1" applyBorder="1" applyAlignment="1" applyProtection="1">
      <alignment horizontal="centerContinuous"/>
      <protection/>
    </xf>
    <xf numFmtId="0" fontId="14" fillId="34" borderId="16" xfId="0" applyFont="1" applyFill="1" applyBorder="1" applyAlignment="1" applyProtection="1">
      <alignment horizontal="centerContinuous"/>
      <protection/>
    </xf>
    <xf numFmtId="0" fontId="7" fillId="0" borderId="12" xfId="0" applyFont="1" applyFill="1" applyBorder="1" applyAlignment="1" applyProtection="1">
      <alignment horizontal="centerContinuous"/>
      <protection/>
    </xf>
    <xf numFmtId="0" fontId="14" fillId="0" borderId="0" xfId="0" applyFont="1" applyFill="1" applyBorder="1" applyAlignment="1" applyProtection="1">
      <alignment horizontal="centerContinuous"/>
      <protection/>
    </xf>
    <xf numFmtId="0" fontId="14" fillId="0" borderId="17" xfId="0" applyFont="1" applyFill="1" applyBorder="1" applyAlignment="1" applyProtection="1">
      <alignment horizontal="centerContinuous"/>
      <protection/>
    </xf>
    <xf numFmtId="0" fontId="0" fillId="0" borderId="12" xfId="0" applyFont="1" applyBorder="1" applyAlignment="1" applyProtection="1">
      <alignment horizontal="left"/>
      <protection/>
    </xf>
    <xf numFmtId="0" fontId="0" fillId="35" borderId="0" xfId="0" applyFont="1" applyFill="1" applyBorder="1" applyAlignment="1" applyProtection="1">
      <alignment/>
      <protection/>
    </xf>
    <xf numFmtId="0" fontId="4" fillId="35" borderId="0" xfId="0" applyFont="1" applyFill="1" applyBorder="1" applyAlignment="1" applyProtection="1">
      <alignment horizontal="left"/>
      <protection/>
    </xf>
    <xf numFmtId="0" fontId="0" fillId="35" borderId="0" xfId="0" applyFont="1" applyFill="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pplyProtection="1">
      <alignment/>
      <protection/>
    </xf>
    <xf numFmtId="0" fontId="0" fillId="0" borderId="17" xfId="0" applyFont="1" applyBorder="1" applyAlignment="1" applyProtection="1">
      <alignment/>
      <protection/>
    </xf>
    <xf numFmtId="0" fontId="1" fillId="35" borderId="0"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17" xfId="0" applyFont="1" applyBorder="1" applyAlignment="1" applyProtection="1">
      <alignment horizontal="center"/>
      <protection/>
    </xf>
    <xf numFmtId="0" fontId="0" fillId="0" borderId="0" xfId="0" applyFont="1" applyBorder="1" applyAlignment="1" applyProtection="1">
      <alignment horizontal="right"/>
      <protection/>
    </xf>
    <xf numFmtId="0" fontId="0" fillId="0" borderId="17" xfId="0" applyFont="1" applyFill="1" applyBorder="1" applyAlignment="1" applyProtection="1">
      <alignment/>
      <protection/>
    </xf>
    <xf numFmtId="0" fontId="0" fillId="0" borderId="13" xfId="0" applyFont="1" applyBorder="1" applyAlignment="1" applyProtection="1">
      <alignment/>
      <protection/>
    </xf>
    <xf numFmtId="0" fontId="0" fillId="0" borderId="10" xfId="0" applyFont="1" applyBorder="1" applyAlignment="1" applyProtection="1">
      <alignment/>
      <protection/>
    </xf>
    <xf numFmtId="0" fontId="0" fillId="0" borderId="10" xfId="0" applyFont="1" applyBorder="1" applyAlignment="1" applyProtection="1">
      <alignment horizontal="right"/>
      <protection/>
    </xf>
    <xf numFmtId="170" fontId="0" fillId="0" borderId="11" xfId="0" applyNumberFormat="1" applyFont="1" applyFill="1" applyBorder="1" applyAlignment="1" applyProtection="1">
      <alignment horizontal="right"/>
      <protection/>
    </xf>
    <xf numFmtId="0" fontId="15" fillId="36" borderId="19" xfId="0" applyFont="1" applyFill="1" applyBorder="1" applyAlignment="1" applyProtection="1">
      <alignment/>
      <protection/>
    </xf>
    <xf numFmtId="0" fontId="5" fillId="36" borderId="18" xfId="0" applyFont="1" applyFill="1" applyBorder="1" applyAlignment="1" applyProtection="1">
      <alignment horizontal="center"/>
      <protection/>
    </xf>
    <xf numFmtId="0" fontId="5" fillId="36" borderId="20" xfId="0" applyFont="1" applyFill="1" applyBorder="1" applyAlignment="1" applyProtection="1">
      <alignment horizontal="center"/>
      <protection/>
    </xf>
    <xf numFmtId="0" fontId="6" fillId="0" borderId="0" xfId="0" applyFont="1" applyAlignment="1" applyProtection="1">
      <alignment/>
      <protection/>
    </xf>
    <xf numFmtId="0" fontId="16" fillId="0" borderId="12" xfId="0" applyFont="1" applyBorder="1" applyAlignment="1" applyProtection="1">
      <alignment/>
      <protection/>
    </xf>
    <xf numFmtId="0" fontId="5" fillId="0" borderId="0" xfId="0" applyFont="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7" xfId="0" applyFont="1" applyFill="1" applyBorder="1" applyAlignment="1" applyProtection="1">
      <alignment horizontal="center"/>
      <protection/>
    </xf>
    <xf numFmtId="0" fontId="16" fillId="0" borderId="12" xfId="0" applyFont="1" applyBorder="1" applyAlignment="1" applyProtection="1">
      <alignment horizontal="left"/>
      <protection/>
    </xf>
    <xf numFmtId="0" fontId="6" fillId="0" borderId="22" xfId="0" applyFont="1" applyBorder="1" applyAlignment="1" applyProtection="1">
      <alignment/>
      <protection/>
    </xf>
    <xf numFmtId="172" fontId="5" fillId="0" borderId="23" xfId="0" applyNumberFormat="1" applyFont="1" applyBorder="1" applyAlignment="1" applyProtection="1">
      <alignment horizontal="center"/>
      <protection/>
    </xf>
    <xf numFmtId="172" fontId="5" fillId="0" borderId="23" xfId="0" applyNumberFormat="1" applyFont="1" applyFill="1" applyBorder="1" applyAlignment="1" applyProtection="1">
      <alignment horizontal="center"/>
      <protection/>
    </xf>
    <xf numFmtId="0" fontId="5" fillId="0" borderId="23" xfId="0" applyFont="1" applyBorder="1" applyAlignment="1" applyProtection="1">
      <alignment horizontal="center"/>
      <protection/>
    </xf>
    <xf numFmtId="0" fontId="5" fillId="0" borderId="23" xfId="0" applyFont="1" applyFill="1" applyBorder="1" applyAlignment="1" applyProtection="1">
      <alignment horizontal="center"/>
      <protection/>
    </xf>
    <xf numFmtId="0" fontId="5" fillId="0" borderId="24" xfId="0" applyFont="1" applyFill="1" applyBorder="1" applyAlignment="1" applyProtection="1">
      <alignment horizontal="center"/>
      <protection/>
    </xf>
    <xf numFmtId="0" fontId="6" fillId="33" borderId="12" xfId="0" applyFont="1" applyFill="1" applyBorder="1" applyAlignment="1" applyProtection="1">
      <alignment/>
      <protection/>
    </xf>
    <xf numFmtId="0" fontId="6" fillId="33" borderId="0" xfId="0" applyFont="1" applyFill="1" applyBorder="1" applyAlignment="1" applyProtection="1">
      <alignment/>
      <protection/>
    </xf>
    <xf numFmtId="0" fontId="6" fillId="0" borderId="0" xfId="0" applyFont="1" applyFill="1" applyBorder="1" applyAlignment="1" applyProtection="1">
      <alignment/>
      <protection/>
    </xf>
    <xf numFmtId="0" fontId="6" fillId="0" borderId="0" xfId="0" applyFont="1" applyBorder="1" applyAlignment="1" applyProtection="1">
      <alignment/>
      <protection/>
    </xf>
    <xf numFmtId="0" fontId="5" fillId="33" borderId="0" xfId="0" applyFont="1" applyFill="1" applyBorder="1" applyAlignment="1" applyProtection="1">
      <alignment horizontal="center"/>
      <protection/>
    </xf>
    <xf numFmtId="0" fontId="6" fillId="0" borderId="17" xfId="0" applyFont="1" applyFill="1" applyBorder="1" applyAlignment="1" applyProtection="1">
      <alignment/>
      <protection/>
    </xf>
    <xf numFmtId="0" fontId="1" fillId="0" borderId="0" xfId="0" applyFont="1" applyAlignment="1" applyProtection="1">
      <alignment/>
      <protection/>
    </xf>
    <xf numFmtId="4" fontId="0" fillId="0" borderId="21" xfId="0" applyNumberFormat="1" applyFont="1" applyBorder="1" applyAlignment="1" applyProtection="1">
      <alignment/>
      <protection/>
    </xf>
    <xf numFmtId="4" fontId="1" fillId="0" borderId="25" xfId="0" applyNumberFormat="1" applyFont="1" applyBorder="1" applyAlignment="1" applyProtection="1">
      <alignment/>
      <protection/>
    </xf>
    <xf numFmtId="10" fontId="17" fillId="0" borderId="21" xfId="0" applyNumberFormat="1" applyFont="1" applyFill="1" applyBorder="1" applyAlignment="1" applyProtection="1">
      <alignment/>
      <protection/>
    </xf>
    <xf numFmtId="10" fontId="1" fillId="0" borderId="26" xfId="0" applyNumberFormat="1" applyFont="1" applyFill="1" applyBorder="1" applyAlignment="1" applyProtection="1">
      <alignment/>
      <protection/>
    </xf>
    <xf numFmtId="0" fontId="1" fillId="0" borderId="27" xfId="0" applyFont="1" applyBorder="1" applyAlignment="1" applyProtection="1">
      <alignment horizontal="left"/>
      <protection/>
    </xf>
    <xf numFmtId="4" fontId="1" fillId="0" borderId="28" xfId="0" applyNumberFormat="1" applyFont="1" applyBorder="1" applyAlignment="1" applyProtection="1">
      <alignment/>
      <protection/>
    </xf>
    <xf numFmtId="4" fontId="1" fillId="0" borderId="0" xfId="0" applyNumberFormat="1" applyFont="1" applyBorder="1" applyAlignment="1" applyProtection="1">
      <alignment/>
      <protection/>
    </xf>
    <xf numFmtId="10" fontId="17" fillId="0" borderId="28" xfId="0" applyNumberFormat="1" applyFont="1" applyFill="1" applyBorder="1" applyAlignment="1" applyProtection="1">
      <alignment/>
      <protection/>
    </xf>
    <xf numFmtId="10" fontId="1" fillId="0" borderId="29" xfId="0" applyNumberFormat="1" applyFont="1" applyFill="1" applyBorder="1" applyAlignment="1" applyProtection="1">
      <alignment/>
      <protection/>
    </xf>
    <xf numFmtId="0" fontId="1" fillId="0" borderId="12" xfId="0" applyFont="1" applyFill="1" applyBorder="1" applyAlignment="1" applyProtection="1">
      <alignment horizontal="left"/>
      <protection/>
    </xf>
    <xf numFmtId="4" fontId="1" fillId="0" borderId="0" xfId="0" applyNumberFormat="1" applyFont="1" applyFill="1" applyBorder="1" applyAlignment="1" applyProtection="1">
      <alignment/>
      <protection/>
    </xf>
    <xf numFmtId="10" fontId="17" fillId="0" borderId="0" xfId="0" applyNumberFormat="1" applyFont="1" applyFill="1" applyBorder="1" applyAlignment="1" applyProtection="1">
      <alignment/>
      <protection/>
    </xf>
    <xf numFmtId="10" fontId="1" fillId="0" borderId="17" xfId="0" applyNumberFormat="1" applyFont="1" applyFill="1" applyBorder="1" applyAlignment="1" applyProtection="1">
      <alignment/>
      <protection/>
    </xf>
    <xf numFmtId="0" fontId="15" fillId="36" borderId="12" xfId="0" applyFont="1" applyFill="1" applyBorder="1" applyAlignment="1" applyProtection="1">
      <alignment horizontal="left"/>
      <protection/>
    </xf>
    <xf numFmtId="4" fontId="1" fillId="36" borderId="0" xfId="0" applyNumberFormat="1" applyFont="1" applyFill="1" applyBorder="1" applyAlignment="1" applyProtection="1">
      <alignment/>
      <protection/>
    </xf>
    <xf numFmtId="0" fontId="5" fillId="36" borderId="0" xfId="0" applyFont="1" applyFill="1" applyBorder="1" applyAlignment="1" applyProtection="1">
      <alignment horizontal="center"/>
      <protection/>
    </xf>
    <xf numFmtId="0" fontId="5" fillId="36" borderId="17" xfId="0" applyFont="1" applyFill="1" applyBorder="1" applyAlignment="1" applyProtection="1">
      <alignment horizontal="center"/>
      <protection/>
    </xf>
    <xf numFmtId="0" fontId="5" fillId="0" borderId="0" xfId="0" applyFont="1" applyAlignment="1" applyProtection="1">
      <alignment/>
      <protection/>
    </xf>
    <xf numFmtId="4" fontId="5" fillId="0" borderId="0" xfId="0" applyNumberFormat="1" applyFont="1" applyBorder="1" applyAlignment="1" applyProtection="1">
      <alignment/>
      <protection/>
    </xf>
    <xf numFmtId="0" fontId="5" fillId="0" borderId="22" xfId="0" applyFont="1" applyBorder="1" applyAlignment="1" applyProtection="1">
      <alignment horizontal="left"/>
      <protection/>
    </xf>
    <xf numFmtId="0" fontId="5" fillId="0" borderId="23" xfId="0" applyNumberFormat="1" applyFont="1" applyBorder="1" applyAlignment="1" applyProtection="1">
      <alignment horizontal="center"/>
      <protection/>
    </xf>
    <xf numFmtId="0" fontId="6" fillId="0" borderId="23" xfId="0" applyFont="1" applyBorder="1" applyAlignment="1" applyProtection="1">
      <alignment/>
      <protection/>
    </xf>
    <xf numFmtId="10" fontId="18" fillId="0" borderId="23" xfId="0" applyNumberFormat="1" applyFont="1" applyFill="1" applyBorder="1" applyAlignment="1" applyProtection="1">
      <alignment horizontal="center"/>
      <protection/>
    </xf>
    <xf numFmtId="10" fontId="5" fillId="0" borderId="24" xfId="0" applyNumberFormat="1" applyFont="1" applyFill="1" applyBorder="1" applyAlignment="1" applyProtection="1">
      <alignment horizontal="center"/>
      <protection/>
    </xf>
    <xf numFmtId="0" fontId="5" fillId="0" borderId="30" xfId="0" applyNumberFormat="1" applyFont="1" applyBorder="1" applyAlignment="1" applyProtection="1">
      <alignment horizontal="center"/>
      <protection/>
    </xf>
    <xf numFmtId="0" fontId="0" fillId="0" borderId="31" xfId="0" applyFont="1" applyBorder="1" applyAlignment="1" applyProtection="1">
      <alignment/>
      <protection/>
    </xf>
    <xf numFmtId="10" fontId="19" fillId="0" borderId="30" xfId="0" applyNumberFormat="1" applyFont="1" applyFill="1" applyBorder="1" applyAlignment="1" applyProtection="1">
      <alignment/>
      <protection/>
    </xf>
    <xf numFmtId="10" fontId="0" fillId="0" borderId="32" xfId="0" applyNumberFormat="1" applyFont="1" applyFill="1" applyBorder="1" applyAlignment="1" applyProtection="1">
      <alignment/>
      <protection/>
    </xf>
    <xf numFmtId="4" fontId="8" fillId="35" borderId="21" xfId="0" applyNumberFormat="1" applyFont="1" applyFill="1" applyBorder="1" applyAlignment="1" applyProtection="1">
      <alignment/>
      <protection locked="0"/>
    </xf>
    <xf numFmtId="4" fontId="1" fillId="0" borderId="33" xfId="0" applyNumberFormat="1" applyFont="1" applyBorder="1" applyAlignment="1" applyProtection="1">
      <alignment/>
      <protection/>
    </xf>
    <xf numFmtId="0" fontId="0" fillId="0" borderId="34" xfId="0" applyFont="1" applyBorder="1" applyAlignment="1" applyProtection="1">
      <alignment horizontal="left"/>
      <protection/>
    </xf>
    <xf numFmtId="0" fontId="0" fillId="0" borderId="35" xfId="0" applyFont="1" applyBorder="1" applyAlignment="1" applyProtection="1">
      <alignment/>
      <protection/>
    </xf>
    <xf numFmtId="170" fontId="0" fillId="0" borderId="35" xfId="0" applyNumberFormat="1" applyFont="1" applyBorder="1" applyAlignment="1" applyProtection="1">
      <alignment/>
      <protection/>
    </xf>
    <xf numFmtId="169" fontId="0" fillId="0" borderId="35" xfId="0" applyNumberFormat="1" applyFont="1" applyBorder="1" applyAlignment="1" applyProtection="1">
      <alignment/>
      <protection/>
    </xf>
    <xf numFmtId="169" fontId="0" fillId="0" borderId="0" xfId="0" applyNumberFormat="1" applyFont="1" applyBorder="1" applyAlignment="1" applyProtection="1">
      <alignment/>
      <protection/>
    </xf>
    <xf numFmtId="10" fontId="19" fillId="0" borderId="35" xfId="0" applyNumberFormat="1" applyFont="1" applyFill="1" applyBorder="1" applyAlignment="1" applyProtection="1">
      <alignment/>
      <protection/>
    </xf>
    <xf numFmtId="10" fontId="0" fillId="0" borderId="36" xfId="0" applyNumberFormat="1" applyFont="1" applyFill="1" applyBorder="1" applyAlignment="1" applyProtection="1">
      <alignment/>
      <protection/>
    </xf>
    <xf numFmtId="4" fontId="1" fillId="0" borderId="37" xfId="0" applyNumberFormat="1" applyFont="1" applyBorder="1" applyAlignment="1" applyProtection="1">
      <alignment/>
      <protection/>
    </xf>
    <xf numFmtId="10" fontId="17" fillId="0" borderId="38" xfId="0" applyNumberFormat="1" applyFont="1" applyFill="1" applyBorder="1" applyAlignment="1" applyProtection="1">
      <alignment/>
      <protection/>
    </xf>
    <xf numFmtId="10" fontId="1" fillId="0" borderId="36" xfId="0" applyNumberFormat="1" applyFont="1" applyFill="1" applyBorder="1" applyAlignment="1" applyProtection="1">
      <alignment/>
      <protection/>
    </xf>
    <xf numFmtId="0" fontId="0" fillId="33" borderId="12" xfId="0" applyFont="1" applyFill="1" applyBorder="1" applyAlignment="1" applyProtection="1">
      <alignment horizontal="center"/>
      <protection/>
    </xf>
    <xf numFmtId="0" fontId="0" fillId="33" borderId="0" xfId="0" applyFont="1" applyFill="1" applyBorder="1" applyAlignment="1" applyProtection="1">
      <alignment/>
      <protection/>
    </xf>
    <xf numFmtId="170" fontId="0" fillId="33" borderId="0" xfId="0" applyNumberFormat="1" applyFont="1" applyFill="1" applyBorder="1" applyAlignment="1" applyProtection="1">
      <alignment/>
      <protection/>
    </xf>
    <xf numFmtId="169" fontId="0" fillId="33" borderId="0" xfId="0" applyNumberFormat="1" applyFont="1" applyFill="1" applyBorder="1" applyAlignment="1" applyProtection="1">
      <alignment/>
      <protection/>
    </xf>
    <xf numFmtId="167" fontId="0" fillId="33" borderId="0" xfId="0" applyNumberFormat="1" applyFont="1" applyFill="1" applyBorder="1" applyAlignment="1" applyProtection="1">
      <alignment/>
      <protection/>
    </xf>
    <xf numFmtId="0" fontId="0" fillId="37" borderId="17" xfId="0" applyFont="1" applyFill="1" applyBorder="1" applyAlignment="1" applyProtection="1">
      <alignment/>
      <protection/>
    </xf>
    <xf numFmtId="0" fontId="0" fillId="33" borderId="12" xfId="0" applyFont="1" applyFill="1" applyBorder="1" applyAlignment="1" applyProtection="1">
      <alignment/>
      <protection/>
    </xf>
    <xf numFmtId="2" fontId="8" fillId="35" borderId="0" xfId="0" applyNumberFormat="1" applyFont="1" applyFill="1" applyBorder="1" applyAlignment="1" applyProtection="1">
      <alignment/>
      <protection locked="0"/>
    </xf>
    <xf numFmtId="0" fontId="1" fillId="33" borderId="0" xfId="0" applyFont="1" applyFill="1" applyBorder="1" applyAlignment="1" applyProtection="1">
      <alignment horizontal="right"/>
      <protection/>
    </xf>
    <xf numFmtId="170" fontId="1" fillId="37" borderId="17" xfId="0" applyNumberFormat="1" applyFont="1" applyFill="1" applyBorder="1" applyAlignment="1" applyProtection="1">
      <alignment/>
      <protection/>
    </xf>
    <xf numFmtId="0" fontId="0" fillId="33" borderId="13" xfId="0" applyFont="1" applyFill="1" applyBorder="1" applyAlignment="1" applyProtection="1">
      <alignment/>
      <protection/>
    </xf>
    <xf numFmtId="0" fontId="0" fillId="33" borderId="10" xfId="0" applyFont="1" applyFill="1" applyBorder="1" applyAlignment="1" applyProtection="1">
      <alignment/>
      <protection/>
    </xf>
    <xf numFmtId="0" fontId="0" fillId="37" borderId="11" xfId="0" applyFont="1" applyFill="1" applyBorder="1" applyAlignment="1" applyProtection="1">
      <alignment/>
      <protection/>
    </xf>
    <xf numFmtId="0" fontId="2" fillId="0" borderId="0" xfId="0" applyFont="1" applyAlignment="1" applyProtection="1">
      <alignment/>
      <protection/>
    </xf>
    <xf numFmtId="4" fontId="0" fillId="0" borderId="21" xfId="0" applyNumberFormat="1" applyFont="1" applyFill="1" applyBorder="1" applyAlignment="1" applyProtection="1">
      <alignment/>
      <protection/>
    </xf>
    <xf numFmtId="173" fontId="20" fillId="0" borderId="0" xfId="60" applyNumberFormat="1" applyFont="1" applyFill="1" applyBorder="1" applyAlignment="1">
      <alignment/>
      <protection/>
    </xf>
    <xf numFmtId="0" fontId="20" fillId="0" borderId="0" xfId="58" applyFont="1" applyFill="1" applyBorder="1">
      <alignment/>
      <protection/>
    </xf>
    <xf numFmtId="0" fontId="20" fillId="0" borderId="0" xfId="60" applyFont="1" applyFill="1" applyBorder="1">
      <alignment/>
      <protection/>
    </xf>
    <xf numFmtId="173" fontId="21" fillId="0" borderId="0" xfId="60" applyNumberFormat="1" applyFont="1" applyFill="1" applyBorder="1" applyAlignment="1">
      <alignment/>
      <protection/>
    </xf>
    <xf numFmtId="173" fontId="22" fillId="0" borderId="0" xfId="60" applyNumberFormat="1" applyFont="1" applyFill="1" applyBorder="1" applyAlignment="1">
      <alignment/>
      <protection/>
    </xf>
    <xf numFmtId="173" fontId="23" fillId="0" borderId="0" xfId="60" applyNumberFormat="1" applyFont="1" applyFill="1" applyBorder="1" applyAlignment="1">
      <alignment/>
      <protection/>
    </xf>
    <xf numFmtId="173" fontId="24" fillId="0" borderId="0" xfId="60" applyNumberFormat="1" applyFont="1" applyFill="1" applyBorder="1" applyAlignment="1">
      <alignment/>
      <protection/>
    </xf>
    <xf numFmtId="173" fontId="25" fillId="0" borderId="0" xfId="60" applyNumberFormat="1" applyFont="1" applyFill="1" applyBorder="1" applyAlignment="1">
      <alignment/>
      <protection/>
    </xf>
    <xf numFmtId="4" fontId="20" fillId="0" borderId="0" xfId="58" applyNumberFormat="1" applyFont="1" applyFill="1" applyBorder="1" applyAlignment="1">
      <alignment/>
      <protection/>
    </xf>
    <xf numFmtId="4" fontId="23" fillId="0" borderId="0" xfId="58" applyNumberFormat="1" applyFont="1" applyFill="1" applyBorder="1" applyAlignment="1">
      <alignment/>
      <protection/>
    </xf>
    <xf numFmtId="4" fontId="22" fillId="0" borderId="0" xfId="58" applyNumberFormat="1" applyFont="1" applyFill="1" applyBorder="1" applyAlignment="1">
      <alignment/>
      <protection/>
    </xf>
    <xf numFmtId="4" fontId="25" fillId="0" borderId="0" xfId="58" applyNumberFormat="1" applyFont="1" applyFill="1" applyBorder="1" applyAlignment="1">
      <alignment/>
      <protection/>
    </xf>
    <xf numFmtId="173" fontId="27" fillId="0" borderId="0" xfId="60" applyNumberFormat="1" applyFont="1" applyFill="1" applyBorder="1" applyAlignment="1">
      <alignment/>
      <protection/>
    </xf>
    <xf numFmtId="173" fontId="28" fillId="0" borderId="0" xfId="60" applyNumberFormat="1" applyFont="1" applyFill="1" applyBorder="1" applyAlignment="1">
      <alignment/>
      <protection/>
    </xf>
    <xf numFmtId="0" fontId="1" fillId="0" borderId="39" xfId="0" applyFont="1" applyBorder="1" applyAlignment="1" applyProtection="1">
      <alignment horizontal="left"/>
      <protection/>
    </xf>
    <xf numFmtId="0" fontId="5" fillId="0" borderId="23" xfId="0" applyFont="1" applyBorder="1" applyAlignment="1" applyProtection="1">
      <alignment horizontal="left"/>
      <protection/>
    </xf>
    <xf numFmtId="4" fontId="8" fillId="35" borderId="40" xfId="0" applyNumberFormat="1" applyFont="1" applyFill="1" applyBorder="1" applyAlignment="1" applyProtection="1" quotePrefix="1">
      <alignment horizontal="center"/>
      <protection/>
    </xf>
    <xf numFmtId="4" fontId="0" fillId="0" borderId="40" xfId="0" applyNumberFormat="1" applyFont="1" applyBorder="1" applyAlignment="1" applyProtection="1" quotePrefix="1">
      <alignment horizontal="center"/>
      <protection/>
    </xf>
    <xf numFmtId="0" fontId="1" fillId="0" borderId="41" xfId="0" applyFont="1" applyBorder="1" applyAlignment="1" applyProtection="1">
      <alignment horizontal="left"/>
      <protection/>
    </xf>
    <xf numFmtId="0" fontId="0" fillId="0" borderId="42" xfId="0" applyFont="1" applyBorder="1" applyAlignment="1" applyProtection="1">
      <alignment horizontal="left"/>
      <protection/>
    </xf>
    <xf numFmtId="0" fontId="12" fillId="35" borderId="0" xfId="0" applyFont="1" applyFill="1" applyBorder="1" applyAlignment="1" applyProtection="1">
      <alignment/>
      <protection/>
    </xf>
    <xf numFmtId="4" fontId="0" fillId="0" borderId="40" xfId="0" applyNumberFormat="1" applyFont="1" applyBorder="1" applyAlignment="1" applyProtection="1">
      <alignment/>
      <protection/>
    </xf>
    <xf numFmtId="0" fontId="6" fillId="0" borderId="43" xfId="0" applyFont="1" applyBorder="1" applyAlignment="1" applyProtection="1">
      <alignment/>
      <protection/>
    </xf>
    <xf numFmtId="0" fontId="6" fillId="33" borderId="44" xfId="0" applyFont="1" applyFill="1" applyBorder="1" applyAlignment="1" applyProtection="1">
      <alignment/>
      <protection/>
    </xf>
    <xf numFmtId="2" fontId="8" fillId="35" borderId="0" xfId="0" applyNumberFormat="1" applyFont="1" applyFill="1" applyBorder="1" applyAlignment="1" applyProtection="1">
      <alignment/>
      <protection/>
    </xf>
    <xf numFmtId="0" fontId="12" fillId="35" borderId="0" xfId="0" applyFont="1" applyFill="1" applyBorder="1" applyAlignment="1" applyProtection="1">
      <alignment/>
      <protection/>
    </xf>
    <xf numFmtId="171" fontId="8" fillId="35" borderId="0" xfId="0" applyNumberFormat="1" applyFont="1" applyFill="1" applyBorder="1" applyAlignment="1" applyProtection="1">
      <alignment/>
      <protection/>
    </xf>
    <xf numFmtId="2" fontId="0" fillId="0" borderId="0" xfId="0" applyNumberFormat="1" applyFill="1" applyBorder="1" applyAlignment="1" applyProtection="1">
      <alignment/>
      <protection/>
    </xf>
    <xf numFmtId="171" fontId="0" fillId="0" borderId="0" xfId="0" applyNumberFormat="1" applyFill="1" applyBorder="1" applyAlignment="1" applyProtection="1">
      <alignment/>
      <protection/>
    </xf>
    <xf numFmtId="10" fontId="11" fillId="0" borderId="21" xfId="0" applyNumberFormat="1" applyFont="1" applyFill="1" applyBorder="1" applyAlignment="1" applyProtection="1">
      <alignment vertical="center"/>
      <protection/>
    </xf>
    <xf numFmtId="173" fontId="20" fillId="0" borderId="0" xfId="60" applyNumberFormat="1" applyFont="1" applyFill="1" applyAlignment="1">
      <alignment vertical="center"/>
      <protection/>
    </xf>
    <xf numFmtId="173" fontId="20" fillId="0" borderId="0" xfId="60" applyNumberFormat="1" applyFont="1" applyFill="1" applyAlignment="1">
      <alignment horizontal="left"/>
      <protection/>
    </xf>
    <xf numFmtId="0" fontId="20" fillId="0" borderId="0" xfId="58" applyFont="1" applyFill="1">
      <alignment/>
      <protection/>
    </xf>
    <xf numFmtId="2" fontId="20" fillId="0" borderId="0" xfId="60" applyNumberFormat="1" applyFont="1" applyFill="1" applyAlignment="1">
      <alignment horizontal="center"/>
      <protection/>
    </xf>
    <xf numFmtId="173" fontId="20" fillId="0" borderId="0" xfId="60" applyNumberFormat="1" applyFont="1" applyFill="1">
      <alignment/>
      <protection/>
    </xf>
    <xf numFmtId="0" fontId="21" fillId="0" borderId="45" xfId="58" applyFont="1" applyFill="1" applyBorder="1" applyAlignment="1">
      <alignment horizontal="center"/>
      <protection/>
    </xf>
    <xf numFmtId="0" fontId="21" fillId="0" borderId="14" xfId="58" applyFont="1" applyFill="1" applyBorder="1" applyAlignment="1">
      <alignment horizontal="center"/>
      <protection/>
    </xf>
    <xf numFmtId="16" fontId="21" fillId="0" borderId="15" xfId="58" applyNumberFormat="1" applyFont="1" applyFill="1" applyBorder="1" applyAlignment="1" quotePrefix="1">
      <alignment horizontal="center"/>
      <protection/>
    </xf>
    <xf numFmtId="0" fontId="21" fillId="0" borderId="0" xfId="58" applyFont="1" applyFill="1" applyAlignment="1">
      <alignment horizontal="center"/>
      <protection/>
    </xf>
    <xf numFmtId="0" fontId="20" fillId="0" borderId="0" xfId="58" applyNumberFormat="1" applyFont="1" applyFill="1" applyBorder="1">
      <alignment/>
      <protection/>
    </xf>
    <xf numFmtId="2" fontId="20" fillId="0" borderId="0" xfId="58" applyNumberFormat="1" applyFont="1" applyFill="1" applyBorder="1">
      <alignment/>
      <protection/>
    </xf>
    <xf numFmtId="0" fontId="6" fillId="0" borderId="0" xfId="59" applyFont="1">
      <alignment/>
      <protection/>
    </xf>
    <xf numFmtId="0" fontId="5" fillId="0" borderId="0" xfId="59" applyNumberFormat="1" applyFont="1" applyBorder="1" applyAlignment="1">
      <alignment horizontal="center" wrapText="1"/>
      <protection/>
    </xf>
    <xf numFmtId="39" fontId="6" fillId="0" borderId="0" xfId="59" applyNumberFormat="1" applyFont="1" applyAlignment="1">
      <alignment/>
      <protection/>
    </xf>
    <xf numFmtId="39" fontId="6" fillId="0" borderId="0" xfId="59" applyNumberFormat="1" applyFont="1" applyFill="1" applyAlignment="1" applyProtection="1">
      <alignment/>
      <protection/>
    </xf>
    <xf numFmtId="0" fontId="5" fillId="0" borderId="46" xfId="59" applyFont="1" applyBorder="1" applyAlignment="1">
      <alignment horizontal="center" wrapText="1"/>
      <protection/>
    </xf>
    <xf numFmtId="0" fontId="5" fillId="0" borderId="46" xfId="59" applyNumberFormat="1" applyFont="1" applyBorder="1" applyAlignment="1">
      <alignment horizontal="center" wrapText="1"/>
      <protection/>
    </xf>
    <xf numFmtId="4" fontId="5" fillId="0" borderId="47" xfId="44" applyFont="1" applyBorder="1" applyAlignment="1">
      <alignment horizontal="center" wrapText="1"/>
    </xf>
    <xf numFmtId="4" fontId="5" fillId="0" borderId="46" xfId="44" applyFont="1" applyBorder="1" applyAlignment="1">
      <alignment horizontal="center" wrapText="1"/>
    </xf>
    <xf numFmtId="4" fontId="5" fillId="0" borderId="48" xfId="44" applyFont="1" applyBorder="1" applyAlignment="1">
      <alignment horizontal="center" wrapText="1"/>
    </xf>
    <xf numFmtId="4" fontId="5" fillId="0" borderId="0" xfId="44" applyFont="1" applyBorder="1" applyAlignment="1">
      <alignment horizontal="center" wrapText="1"/>
    </xf>
    <xf numFmtId="39" fontId="5" fillId="0" borderId="37" xfId="59" applyNumberFormat="1" applyFont="1" applyBorder="1" applyAlignment="1">
      <alignment horizontal="center" wrapText="1"/>
      <protection/>
    </xf>
    <xf numFmtId="39" fontId="5" fillId="0" borderId="37" xfId="59" applyNumberFormat="1" applyFont="1" applyFill="1" applyBorder="1" applyAlignment="1" applyProtection="1">
      <alignment horizontal="center" wrapText="1"/>
      <protection/>
    </xf>
    <xf numFmtId="0" fontId="5" fillId="0" borderId="0" xfId="59" applyFont="1" applyBorder="1" applyAlignment="1">
      <alignment horizontal="center" wrapText="1"/>
      <protection/>
    </xf>
    <xf numFmtId="0" fontId="6" fillId="0" borderId="0" xfId="59" applyFont="1" applyBorder="1" applyAlignment="1">
      <alignment wrapText="1"/>
      <protection/>
    </xf>
    <xf numFmtId="39" fontId="5" fillId="0" borderId="0" xfId="59" applyNumberFormat="1" applyFont="1" applyBorder="1" applyAlignment="1">
      <alignment horizontal="center" wrapText="1"/>
      <protection/>
    </xf>
    <xf numFmtId="39" fontId="5" fillId="0" borderId="0" xfId="59" applyNumberFormat="1" applyFont="1" applyFill="1" applyBorder="1" applyAlignment="1" applyProtection="1">
      <alignment horizontal="center" wrapText="1"/>
      <protection/>
    </xf>
    <xf numFmtId="0" fontId="6" fillId="0" borderId="0" xfId="59" applyNumberFormat="1" applyFont="1" applyBorder="1">
      <alignment/>
      <protection/>
    </xf>
    <xf numFmtId="4" fontId="6" fillId="0" borderId="0" xfId="44" applyFont="1" applyAlignment="1">
      <alignment/>
    </xf>
    <xf numFmtId="0" fontId="32" fillId="0" borderId="0" xfId="59" applyFont="1" applyBorder="1" applyAlignment="1">
      <alignment horizontal="left"/>
      <protection/>
    </xf>
    <xf numFmtId="0" fontId="33" fillId="0" borderId="0" xfId="59" applyFont="1">
      <alignment/>
      <protection/>
    </xf>
    <xf numFmtId="4" fontId="33" fillId="0" borderId="0" xfId="44" applyFont="1" applyAlignment="1">
      <alignment/>
    </xf>
    <xf numFmtId="4" fontId="33" fillId="0" borderId="0" xfId="44" applyFont="1" applyAlignment="1">
      <alignment/>
    </xf>
    <xf numFmtId="39" fontId="33" fillId="0" borderId="0" xfId="59" applyNumberFormat="1" applyFont="1" applyAlignment="1">
      <alignment/>
      <protection/>
    </xf>
    <xf numFmtId="39" fontId="33" fillId="0" borderId="0" xfId="59" applyNumberFormat="1" applyFont="1" applyFill="1" applyAlignment="1" applyProtection="1">
      <alignment/>
      <protection/>
    </xf>
    <xf numFmtId="0" fontId="6" fillId="0" borderId="0" xfId="59" applyNumberFormat="1" applyFont="1">
      <alignment/>
      <protection/>
    </xf>
    <xf numFmtId="4" fontId="6" fillId="0" borderId="0" xfId="44" applyFont="1" applyAlignment="1">
      <alignment/>
    </xf>
    <xf numFmtId="4" fontId="6" fillId="0" borderId="0" xfId="44" applyFont="1" applyAlignment="1">
      <alignment horizontal="right"/>
    </xf>
    <xf numFmtId="0" fontId="6" fillId="38" borderId="0" xfId="59" applyFont="1" applyFill="1" applyBorder="1" applyProtection="1">
      <alignment/>
      <protection/>
    </xf>
    <xf numFmtId="0" fontId="6" fillId="38" borderId="0" xfId="59" applyFont="1" applyFill="1" applyProtection="1">
      <alignment/>
      <protection/>
    </xf>
    <xf numFmtId="4" fontId="6" fillId="38" borderId="0" xfId="44" applyFont="1" applyFill="1" applyAlignment="1" applyProtection="1">
      <alignment/>
      <protection/>
    </xf>
    <xf numFmtId="4" fontId="6" fillId="38" borderId="0" xfId="44" applyFont="1" applyFill="1" applyAlignment="1" applyProtection="1">
      <alignment/>
      <protection/>
    </xf>
    <xf numFmtId="0" fontId="5" fillId="0" borderId="0" xfId="59" applyFont="1" applyBorder="1" applyAlignment="1">
      <alignment horizontal="left"/>
      <protection/>
    </xf>
    <xf numFmtId="0" fontId="6" fillId="38" borderId="0" xfId="59" applyNumberFormat="1" applyFont="1" applyFill="1" applyBorder="1" applyProtection="1">
      <alignment/>
      <protection/>
    </xf>
    <xf numFmtId="39" fontId="6" fillId="38" borderId="0" xfId="59" applyNumberFormat="1" applyFont="1" applyFill="1" applyAlignment="1" applyProtection="1">
      <alignment/>
      <protection/>
    </xf>
    <xf numFmtId="4" fontId="6" fillId="39" borderId="0" xfId="44" applyFont="1" applyFill="1" applyAlignment="1">
      <alignment/>
    </xf>
    <xf numFmtId="4" fontId="6" fillId="0" borderId="0" xfId="44" applyFont="1" applyFill="1" applyAlignment="1">
      <alignment/>
    </xf>
    <xf numFmtId="0" fontId="34" fillId="0" borderId="0" xfId="59" applyFont="1" applyBorder="1" applyAlignment="1">
      <alignment horizontal="left"/>
      <protection/>
    </xf>
    <xf numFmtId="0" fontId="33" fillId="0" borderId="0" xfId="59" applyNumberFormat="1" applyFont="1" applyBorder="1">
      <alignment/>
      <protection/>
    </xf>
    <xf numFmtId="0" fontId="33" fillId="0" borderId="0" xfId="59" applyNumberFormat="1" applyFont="1">
      <alignment/>
      <protection/>
    </xf>
    <xf numFmtId="4" fontId="33" fillId="0" borderId="0" xfId="44" applyFont="1" applyAlignment="1" applyProtection="1">
      <alignment/>
      <protection/>
    </xf>
    <xf numFmtId="39" fontId="33" fillId="0" borderId="0" xfId="59" applyNumberFormat="1" applyFont="1" applyAlignment="1">
      <alignment horizontal="centerContinuous"/>
      <protection/>
    </xf>
    <xf numFmtId="4" fontId="33" fillId="0" borderId="0" xfId="44" applyFont="1" applyAlignment="1" applyProtection="1">
      <alignment/>
      <protection locked="0"/>
    </xf>
    <xf numFmtId="4" fontId="6" fillId="0" borderId="0" xfId="44" applyFont="1" applyBorder="1" applyAlignment="1">
      <alignment/>
    </xf>
    <xf numFmtId="4" fontId="6" fillId="38" borderId="0" xfId="44" applyFont="1" applyFill="1" applyBorder="1" applyAlignment="1" applyProtection="1">
      <alignment/>
      <protection/>
    </xf>
    <xf numFmtId="4" fontId="6" fillId="38" borderId="0" xfId="59" applyNumberFormat="1" applyFont="1" applyFill="1" applyProtection="1">
      <alignment/>
      <protection/>
    </xf>
    <xf numFmtId="4" fontId="6" fillId="0" borderId="0" xfId="44" applyFont="1" applyBorder="1" applyAlignment="1">
      <alignment/>
    </xf>
    <xf numFmtId="0" fontId="33" fillId="0" borderId="0" xfId="59" applyFont="1" applyBorder="1" applyAlignment="1">
      <alignment horizontal="left"/>
      <protection/>
    </xf>
    <xf numFmtId="4" fontId="33" fillId="0" borderId="0" xfId="44" applyFont="1" applyBorder="1" applyAlignment="1">
      <alignment/>
    </xf>
    <xf numFmtId="0" fontId="34" fillId="0" borderId="0" xfId="59" applyFont="1">
      <alignment/>
      <protection/>
    </xf>
    <xf numFmtId="0" fontId="6" fillId="0" borderId="0" xfId="59" applyFont="1" applyBorder="1" applyAlignment="1">
      <alignment horizontal="left"/>
      <protection/>
    </xf>
    <xf numFmtId="0" fontId="6" fillId="38" borderId="0" xfId="59" applyFont="1" applyFill="1" applyBorder="1" applyAlignment="1" applyProtection="1">
      <alignment horizontal="left"/>
      <protection/>
    </xf>
    <xf numFmtId="4" fontId="6" fillId="38" borderId="0" xfId="44" applyFont="1" applyFill="1" applyBorder="1" applyAlignment="1" applyProtection="1">
      <alignment/>
      <protection/>
    </xf>
    <xf numFmtId="4" fontId="6" fillId="0" borderId="0" xfId="44" applyFont="1" applyFill="1" applyAlignment="1" applyProtection="1">
      <alignment/>
      <protection/>
    </xf>
    <xf numFmtId="4" fontId="6" fillId="0" borderId="0" xfId="44" applyFont="1" applyAlignment="1" applyProtection="1">
      <alignment/>
      <protection/>
    </xf>
    <xf numFmtId="4" fontId="33" fillId="0" borderId="0" xfId="44" applyFont="1" applyBorder="1" applyAlignment="1" applyProtection="1">
      <alignment/>
      <protection/>
    </xf>
    <xf numFmtId="0" fontId="6" fillId="38" borderId="0" xfId="59" applyNumberFormat="1" applyFont="1" applyFill="1" applyProtection="1">
      <alignment/>
      <protection/>
    </xf>
    <xf numFmtId="4" fontId="33" fillId="0" borderId="0" xfId="44" applyFont="1" applyAlignment="1">
      <alignment horizontal="right"/>
    </xf>
    <xf numFmtId="4" fontId="6" fillId="38" borderId="0" xfId="44" applyFont="1" applyFill="1" applyAlignment="1" applyProtection="1">
      <alignment horizontal="right"/>
      <protection/>
    </xf>
    <xf numFmtId="4" fontId="6" fillId="0" borderId="0" xfId="59" applyNumberFormat="1" applyFont="1">
      <alignment/>
      <protection/>
    </xf>
    <xf numFmtId="39" fontId="33" fillId="0" borderId="0" xfId="59" applyNumberFormat="1" applyFont="1" applyFill="1" applyAlignment="1">
      <alignment/>
      <protection/>
    </xf>
    <xf numFmtId="39" fontId="33" fillId="0" borderId="0" xfId="59" applyNumberFormat="1" applyFont="1" applyFill="1" applyAlignment="1" applyProtection="1">
      <alignment/>
      <protection locked="0"/>
    </xf>
    <xf numFmtId="39" fontId="6" fillId="38" borderId="0" xfId="59" applyNumberFormat="1" applyFont="1" applyFill="1" applyBorder="1" applyAlignment="1" applyProtection="1">
      <alignment/>
      <protection/>
    </xf>
    <xf numFmtId="39" fontId="6" fillId="38" borderId="0" xfId="59" applyNumberFormat="1" applyFont="1" applyFill="1" applyAlignment="1">
      <alignment/>
      <protection/>
    </xf>
    <xf numFmtId="4" fontId="6" fillId="39" borderId="0" xfId="44" applyFont="1" applyFill="1" applyBorder="1" applyAlignment="1">
      <alignment/>
    </xf>
    <xf numFmtId="4" fontId="6" fillId="0" borderId="0" xfId="44" applyFont="1" applyFill="1" applyBorder="1" applyAlignment="1">
      <alignment/>
    </xf>
    <xf numFmtId="39" fontId="6" fillId="0" borderId="0" xfId="59" applyNumberFormat="1" applyFont="1" applyBorder="1" applyAlignment="1">
      <alignment/>
      <protection/>
    </xf>
    <xf numFmtId="4" fontId="35" fillId="0" borderId="0" xfId="44" applyFont="1" applyAlignment="1">
      <alignment/>
    </xf>
    <xf numFmtId="0" fontId="6" fillId="0" borderId="0" xfId="59" applyFont="1" applyBorder="1">
      <alignment/>
      <protection/>
    </xf>
    <xf numFmtId="4" fontId="35" fillId="0" borderId="0" xfId="44" applyFont="1" applyBorder="1" applyAlignment="1">
      <alignment/>
    </xf>
    <xf numFmtId="0" fontId="33" fillId="0" borderId="0" xfId="59" applyFont="1" applyBorder="1">
      <alignment/>
      <protection/>
    </xf>
    <xf numFmtId="0" fontId="5" fillId="38" borderId="0" xfId="59" applyNumberFormat="1" applyFont="1" applyFill="1" applyBorder="1" applyProtection="1">
      <alignment/>
      <protection/>
    </xf>
    <xf numFmtId="0" fontId="5" fillId="38" borderId="0" xfId="59" applyNumberFormat="1" applyFont="1" applyFill="1" applyProtection="1">
      <alignment/>
      <protection/>
    </xf>
    <xf numFmtId="4" fontId="5" fillId="38" borderId="0" xfId="44" applyFont="1" applyFill="1" applyAlignment="1" applyProtection="1">
      <alignment/>
      <protection/>
    </xf>
    <xf numFmtId="0" fontId="5" fillId="0" borderId="0" xfId="59" applyFont="1" applyBorder="1" applyAlignment="1" applyProtection="1">
      <alignment horizontal="left"/>
      <protection/>
    </xf>
    <xf numFmtId="0" fontId="6" fillId="0" borderId="0" xfId="59" applyNumberFormat="1" applyFont="1" applyBorder="1" applyProtection="1">
      <alignment/>
      <protection/>
    </xf>
    <xf numFmtId="0" fontId="6" fillId="0" borderId="0" xfId="59" applyNumberFormat="1" applyFont="1" applyProtection="1">
      <alignment/>
      <protection/>
    </xf>
    <xf numFmtId="4" fontId="6" fillId="0" borderId="0" xfId="44" applyFont="1" applyAlignment="1" applyProtection="1">
      <alignment/>
      <protection/>
    </xf>
    <xf numFmtId="39" fontId="6" fillId="0" borderId="0" xfId="59" applyNumberFormat="1" applyFont="1" applyBorder="1" applyAlignment="1" applyProtection="1">
      <alignment/>
      <protection/>
    </xf>
    <xf numFmtId="39" fontId="6" fillId="0" borderId="0" xfId="59" applyNumberFormat="1" applyFont="1" applyFill="1" applyBorder="1" applyAlignment="1" applyProtection="1">
      <alignment/>
      <protection/>
    </xf>
    <xf numFmtId="4" fontId="5" fillId="38" borderId="0" xfId="44" applyFont="1" applyFill="1" applyBorder="1" applyAlignment="1" applyProtection="1">
      <alignment/>
      <protection/>
    </xf>
    <xf numFmtId="4" fontId="33" fillId="0" borderId="0" xfId="44" applyFont="1" applyBorder="1" applyAlignment="1">
      <alignment/>
    </xf>
    <xf numFmtId="39" fontId="33" fillId="0" borderId="0" xfId="59" applyNumberFormat="1" applyFont="1" applyBorder="1" applyAlignment="1">
      <alignment/>
      <protection/>
    </xf>
    <xf numFmtId="4" fontId="36" fillId="38" borderId="0" xfId="44" applyFont="1" applyFill="1" applyAlignment="1" applyProtection="1">
      <alignment/>
      <protection/>
    </xf>
    <xf numFmtId="39" fontId="33" fillId="0" borderId="0" xfId="59" applyNumberFormat="1" applyFont="1">
      <alignment/>
      <protection/>
    </xf>
    <xf numFmtId="4" fontId="6" fillId="0" borderId="0" xfId="59" applyNumberFormat="1" applyFont="1" applyBorder="1" applyAlignment="1">
      <alignment horizontal="centerContinuous"/>
      <protection/>
    </xf>
    <xf numFmtId="0" fontId="34" fillId="0" borderId="0" xfId="59" applyFont="1" applyBorder="1">
      <alignment/>
      <protection/>
    </xf>
    <xf numFmtId="4" fontId="32" fillId="0" borderId="0" xfId="59" applyNumberFormat="1" applyFont="1" applyBorder="1" applyAlignment="1">
      <alignment horizontal="centerContinuous"/>
      <protection/>
    </xf>
    <xf numFmtId="4" fontId="6" fillId="38" borderId="0" xfId="59" applyNumberFormat="1" applyFont="1" applyFill="1" applyBorder="1" applyProtection="1">
      <alignment/>
      <protection/>
    </xf>
    <xf numFmtId="4" fontId="5" fillId="0" borderId="0" xfId="59" applyNumberFormat="1" applyFont="1" applyBorder="1" applyAlignment="1">
      <alignment horizontal="center"/>
      <protection/>
    </xf>
    <xf numFmtId="4" fontId="6" fillId="0" borderId="0" xfId="59" applyNumberFormat="1" applyFont="1" applyBorder="1">
      <alignment/>
      <protection/>
    </xf>
    <xf numFmtId="0" fontId="33" fillId="0" borderId="0" xfId="59" applyFont="1" applyFill="1" applyProtection="1">
      <alignment/>
      <protection locked="0"/>
    </xf>
    <xf numFmtId="4" fontId="33" fillId="0" borderId="0" xfId="59" applyNumberFormat="1" applyFont="1" applyBorder="1">
      <alignment/>
      <protection/>
    </xf>
    <xf numFmtId="4" fontId="33" fillId="0" borderId="0" xfId="44" applyFont="1" applyAlignment="1" applyProtection="1">
      <alignment/>
      <protection/>
    </xf>
    <xf numFmtId="4" fontId="33" fillId="0" borderId="0" xfId="44" applyFont="1" applyFill="1" applyAlignment="1" applyProtection="1">
      <alignment/>
      <protection/>
    </xf>
    <xf numFmtId="4" fontId="6" fillId="0" borderId="0" xfId="44" applyFont="1" applyBorder="1" applyAlignment="1" applyProtection="1">
      <alignment/>
      <protection/>
    </xf>
    <xf numFmtId="39" fontId="33" fillId="0" borderId="0" xfId="59" applyNumberFormat="1" applyFont="1" applyFill="1" applyBorder="1" applyAlignment="1" applyProtection="1">
      <alignment/>
      <protection/>
    </xf>
    <xf numFmtId="0" fontId="33" fillId="0" borderId="0" xfId="59" applyFont="1" applyFill="1" applyProtection="1">
      <alignment/>
      <protection/>
    </xf>
    <xf numFmtId="4" fontId="6" fillId="0" borderId="0" xfId="44" applyFont="1" applyBorder="1" applyAlignment="1" applyProtection="1">
      <alignment/>
      <protection/>
    </xf>
    <xf numFmtId="0" fontId="13" fillId="0" borderId="0" xfId="0" applyFont="1" applyBorder="1" applyAlignment="1">
      <alignment/>
    </xf>
    <xf numFmtId="0" fontId="13" fillId="0" borderId="0" xfId="0" applyFont="1" applyBorder="1" applyAlignment="1" applyProtection="1">
      <alignment/>
      <protection/>
    </xf>
    <xf numFmtId="0" fontId="1" fillId="40" borderId="0" xfId="0" applyFont="1" applyFill="1" applyBorder="1" applyAlignment="1" applyProtection="1">
      <alignment horizontal="right"/>
      <protection locked="0"/>
    </xf>
    <xf numFmtId="0" fontId="8" fillId="40" borderId="0" xfId="0" applyFont="1" applyFill="1" applyBorder="1" applyAlignment="1" applyProtection="1">
      <alignment/>
      <protection locked="0"/>
    </xf>
    <xf numFmtId="0" fontId="12" fillId="40" borderId="0" xfId="0" applyFont="1" applyFill="1" applyBorder="1" applyAlignment="1" applyProtection="1">
      <alignment/>
      <protection locked="0"/>
    </xf>
    <xf numFmtId="0" fontId="37" fillId="0" borderId="17" xfId="0" applyFont="1" applyFill="1" applyBorder="1" applyAlignment="1">
      <alignment/>
    </xf>
    <xf numFmtId="0" fontId="20" fillId="0" borderId="0" xfId="58" applyFont="1" applyFill="1" applyBorder="1" applyAlignment="1">
      <alignment/>
      <protection/>
    </xf>
    <xf numFmtId="200" fontId="5" fillId="0" borderId="0" xfId="42" applyNumberFormat="1" applyFont="1" applyBorder="1" applyAlignment="1">
      <alignment horizontal="center" wrapText="1"/>
    </xf>
    <xf numFmtId="200" fontId="5" fillId="0" borderId="0" xfId="42" applyNumberFormat="1" applyFont="1" applyBorder="1" applyAlignment="1">
      <alignment horizontal="center"/>
    </xf>
    <xf numFmtId="200" fontId="6" fillId="0" borderId="0" xfId="42" applyNumberFormat="1" applyFont="1" applyAlignment="1">
      <alignment horizontal="center"/>
    </xf>
    <xf numFmtId="200" fontId="5" fillId="0" borderId="49" xfId="42" applyNumberFormat="1" applyFont="1" applyBorder="1" applyAlignment="1">
      <alignment horizontal="center"/>
    </xf>
    <xf numFmtId="200" fontId="5" fillId="0" borderId="28" xfId="42" applyNumberFormat="1" applyFont="1" applyBorder="1" applyAlignment="1">
      <alignment horizontal="center"/>
    </xf>
    <xf numFmtId="200" fontId="1" fillId="0" borderId="28" xfId="42" applyNumberFormat="1" applyFont="1" applyBorder="1" applyAlignment="1">
      <alignment horizontal="center"/>
    </xf>
    <xf numFmtId="200" fontId="5" fillId="0" borderId="50" xfId="42" applyNumberFormat="1" applyFont="1" applyBorder="1" applyAlignment="1">
      <alignment horizontal="center"/>
    </xf>
    <xf numFmtId="200" fontId="6" fillId="0" borderId="0" xfId="42" applyNumberFormat="1" applyFont="1" applyFill="1" applyAlignment="1" applyProtection="1">
      <alignment horizontal="center"/>
      <protection/>
    </xf>
    <xf numFmtId="10" fontId="6" fillId="0" borderId="0" xfId="63" applyNumberFormat="1" applyFont="1" applyAlignment="1">
      <alignment/>
    </xf>
    <xf numFmtId="10" fontId="6" fillId="0" borderId="0" xfId="63" applyNumberFormat="1" applyFont="1" applyAlignment="1">
      <alignment horizontal="center"/>
    </xf>
    <xf numFmtId="10" fontId="6" fillId="0" borderId="0" xfId="63" applyNumberFormat="1" applyFont="1" applyBorder="1" applyAlignment="1">
      <alignment wrapText="1"/>
    </xf>
    <xf numFmtId="10" fontId="33" fillId="0" borderId="0" xfId="63" applyNumberFormat="1" applyFont="1" applyAlignment="1">
      <alignment/>
    </xf>
    <xf numFmtId="10" fontId="6" fillId="38" borderId="0" xfId="63" applyNumberFormat="1" applyFont="1" applyFill="1" applyAlignment="1" applyProtection="1">
      <alignment/>
      <protection/>
    </xf>
    <xf numFmtId="10" fontId="34" fillId="0" borderId="0" xfId="63" applyNumberFormat="1" applyFont="1" applyAlignment="1">
      <alignment/>
    </xf>
    <xf numFmtId="10" fontId="6" fillId="38" borderId="0" xfId="63" applyNumberFormat="1" applyFont="1" applyFill="1" applyBorder="1" applyAlignment="1" applyProtection="1">
      <alignment/>
      <protection/>
    </xf>
    <xf numFmtId="10" fontId="6" fillId="0" borderId="0" xfId="63" applyNumberFormat="1" applyFont="1" applyBorder="1" applyAlignment="1">
      <alignment/>
    </xf>
    <xf numFmtId="10" fontId="33" fillId="0" borderId="0" xfId="63" applyNumberFormat="1" applyFont="1" applyBorder="1" applyAlignment="1">
      <alignment/>
    </xf>
    <xf numFmtId="10" fontId="34" fillId="0" borderId="0" xfId="63" applyNumberFormat="1" applyFont="1" applyBorder="1" applyAlignment="1">
      <alignment/>
    </xf>
    <xf numFmtId="0" fontId="8" fillId="40" borderId="0" xfId="0" applyNumberFormat="1" applyFont="1" applyFill="1" applyBorder="1" applyAlignment="1" applyProtection="1">
      <alignment/>
      <protection locked="0"/>
    </xf>
    <xf numFmtId="4" fontId="33" fillId="0" borderId="0" xfId="44" applyFont="1" applyFill="1" applyAlignment="1">
      <alignment/>
    </xf>
    <xf numFmtId="2" fontId="20" fillId="0" borderId="0" xfId="60" applyNumberFormat="1" applyFont="1" applyFill="1" applyBorder="1" applyAlignment="1">
      <alignment horizontal="center"/>
      <protection/>
    </xf>
    <xf numFmtId="173" fontId="20" fillId="0" borderId="0" xfId="60" applyNumberFormat="1" applyFont="1" applyFill="1" applyBorder="1" applyAlignment="1">
      <alignment horizontal="left" vertical="center"/>
      <protection/>
    </xf>
    <xf numFmtId="2" fontId="20" fillId="0" borderId="0" xfId="60" applyNumberFormat="1" applyFont="1" applyFill="1">
      <alignment/>
      <protection/>
    </xf>
    <xf numFmtId="2" fontId="20" fillId="0" borderId="0" xfId="60" applyNumberFormat="1" applyFont="1" applyFill="1" applyBorder="1">
      <alignment/>
      <protection/>
    </xf>
    <xf numFmtId="2" fontId="20" fillId="0" borderId="0" xfId="60" applyNumberFormat="1" applyFont="1" applyFill="1" applyBorder="1" applyAlignment="1">
      <alignment horizontal="left"/>
      <protection/>
    </xf>
    <xf numFmtId="173" fontId="20" fillId="0" borderId="28" xfId="60" applyNumberFormat="1" applyFont="1" applyFill="1" applyBorder="1" applyAlignment="1">
      <alignment/>
      <protection/>
    </xf>
    <xf numFmtId="2" fontId="20" fillId="0" borderId="28" xfId="60" applyNumberFormat="1" applyFont="1" applyFill="1" applyBorder="1" applyAlignment="1">
      <alignment horizontal="center"/>
      <protection/>
    </xf>
    <xf numFmtId="2" fontId="20" fillId="0" borderId="28" xfId="60" applyNumberFormat="1" applyFont="1" applyFill="1" applyBorder="1">
      <alignment/>
      <protection/>
    </xf>
    <xf numFmtId="173" fontId="20" fillId="0" borderId="0" xfId="60" applyNumberFormat="1" applyFont="1" applyFill="1" applyBorder="1" applyAlignment="1">
      <alignment horizontal="left"/>
      <protection/>
    </xf>
    <xf numFmtId="0" fontId="39" fillId="0" borderId="0" xfId="58" applyFont="1" applyFill="1" applyBorder="1">
      <alignment/>
      <protection/>
    </xf>
    <xf numFmtId="2" fontId="20" fillId="0" borderId="0" xfId="60" applyNumberFormat="1" applyFont="1" applyFill="1" applyBorder="1" applyAlignment="1">
      <alignment horizontal="right"/>
      <protection/>
    </xf>
    <xf numFmtId="2" fontId="20" fillId="0" borderId="0" xfId="60" applyNumberFormat="1" applyFont="1" applyFill="1" applyBorder="1" applyAlignment="1">
      <alignment/>
      <protection/>
    </xf>
    <xf numFmtId="2" fontId="20" fillId="0" borderId="46" xfId="60" applyNumberFormat="1" applyFont="1" applyFill="1" applyBorder="1" applyAlignment="1">
      <alignment horizontal="center"/>
      <protection/>
    </xf>
    <xf numFmtId="173" fontId="20" fillId="0" borderId="0" xfId="60" applyNumberFormat="1" applyFont="1" applyFill="1" applyBorder="1" applyAlignment="1">
      <alignment horizontal="center" vertical="center"/>
      <protection/>
    </xf>
    <xf numFmtId="4" fontId="20" fillId="0" borderId="0" xfId="60" applyNumberFormat="1" applyFont="1" applyFill="1" applyBorder="1" applyAlignment="1">
      <alignment horizontal="left" vertical="center"/>
      <protection/>
    </xf>
    <xf numFmtId="4" fontId="20" fillId="0" borderId="0" xfId="60" applyNumberFormat="1" applyFont="1" applyFill="1" applyBorder="1" applyAlignment="1">
      <alignment/>
      <protection/>
    </xf>
    <xf numFmtId="173" fontId="20" fillId="0" borderId="0" xfId="60" applyNumberFormat="1" applyFont="1" applyFill="1" applyBorder="1" applyAlignment="1">
      <alignment vertical="center"/>
      <protection/>
    </xf>
    <xf numFmtId="4" fontId="20" fillId="0" borderId="0" xfId="60" applyNumberFormat="1" applyFont="1" applyFill="1" applyBorder="1" applyAlignment="1">
      <alignment horizontal="center"/>
      <protection/>
    </xf>
    <xf numFmtId="39" fontId="83" fillId="0" borderId="0" xfId="59" applyNumberFormat="1" applyFont="1" applyFill="1" applyAlignment="1" applyProtection="1">
      <alignment/>
      <protection/>
    </xf>
    <xf numFmtId="4" fontId="83" fillId="0" borderId="0" xfId="44" applyFont="1" applyAlignment="1" applyProtection="1">
      <alignment/>
      <protection/>
    </xf>
    <xf numFmtId="4" fontId="6" fillId="0" borderId="28" xfId="44" applyFont="1" applyBorder="1" applyAlignment="1" applyProtection="1">
      <alignment/>
      <protection/>
    </xf>
    <xf numFmtId="0" fontId="0" fillId="33" borderId="12" xfId="0" applyFont="1" applyFill="1" applyBorder="1" applyAlignment="1" applyProtection="1">
      <alignment/>
      <protection/>
    </xf>
    <xf numFmtId="173" fontId="38" fillId="0" borderId="40" xfId="60" applyNumberFormat="1" applyFont="1" applyFill="1" applyBorder="1" applyAlignment="1">
      <alignment/>
      <protection/>
    </xf>
    <xf numFmtId="173" fontId="20" fillId="0" borderId="40" xfId="60" applyNumberFormat="1" applyFont="1" applyFill="1" applyBorder="1" applyAlignment="1">
      <alignment/>
      <protection/>
    </xf>
    <xf numFmtId="4" fontId="0" fillId="0" borderId="0" xfId="44" applyFont="1" applyAlignment="1">
      <alignment/>
    </xf>
    <xf numFmtId="0" fontId="0" fillId="38" borderId="0" xfId="59" applyFont="1" applyFill="1" applyProtection="1">
      <alignment/>
      <protection/>
    </xf>
    <xf numFmtId="0" fontId="0" fillId="38" borderId="0" xfId="59" applyFont="1" applyFill="1" applyBorder="1" applyProtection="1">
      <alignment/>
      <protection/>
    </xf>
    <xf numFmtId="0" fontId="0" fillId="0" borderId="0" xfId="59" applyFont="1">
      <alignment/>
      <protection/>
    </xf>
    <xf numFmtId="10" fontId="0" fillId="38" borderId="0" xfId="63" applyNumberFormat="1" applyFont="1" applyFill="1" applyAlignment="1" applyProtection="1">
      <alignment/>
      <protection/>
    </xf>
    <xf numFmtId="10" fontId="0" fillId="0" borderId="0" xfId="63" applyNumberFormat="1" applyFont="1" applyAlignment="1">
      <alignment/>
    </xf>
    <xf numFmtId="10" fontId="0" fillId="0" borderId="0" xfId="63" applyNumberFormat="1" applyFont="1" applyAlignment="1" applyProtection="1">
      <alignment/>
      <protection/>
    </xf>
    <xf numFmtId="0" fontId="0" fillId="0" borderId="0" xfId="59" applyFont="1" applyProtection="1">
      <alignment/>
      <protection/>
    </xf>
    <xf numFmtId="0" fontId="0" fillId="0" borderId="0" xfId="59" applyFont="1" applyBorder="1">
      <alignment/>
      <protection/>
    </xf>
    <xf numFmtId="4" fontId="0" fillId="0" borderId="0" xfId="59" applyNumberFormat="1" applyFont="1" applyBorder="1">
      <alignment/>
      <protection/>
    </xf>
    <xf numFmtId="10" fontId="0" fillId="38" borderId="0" xfId="63" applyNumberFormat="1" applyFont="1" applyFill="1" applyBorder="1" applyAlignment="1" applyProtection="1">
      <alignment/>
      <protection/>
    </xf>
    <xf numFmtId="0" fontId="0" fillId="0" borderId="0" xfId="59" applyFont="1" applyBorder="1" applyAlignment="1">
      <alignment horizontal="left"/>
      <protection/>
    </xf>
    <xf numFmtId="0" fontId="0" fillId="38" borderId="0" xfId="59" applyFont="1" applyFill="1" applyBorder="1" applyAlignment="1" applyProtection="1">
      <alignment horizontal="left"/>
      <protection/>
    </xf>
    <xf numFmtId="200" fontId="5" fillId="0" borderId="49" xfId="42" applyNumberFormat="1" applyFont="1" applyBorder="1" applyAlignment="1">
      <alignment horizontal="left"/>
    </xf>
    <xf numFmtId="0" fontId="20" fillId="0" borderId="0" xfId="60" applyFont="1" applyFill="1" applyBorder="1" applyAlignment="1">
      <alignment horizontal="center"/>
      <protection/>
    </xf>
    <xf numFmtId="0" fontId="20" fillId="0" borderId="40" xfId="60" applyFont="1" applyFill="1" applyBorder="1">
      <alignment/>
      <protection/>
    </xf>
    <xf numFmtId="2" fontId="20" fillId="0" borderId="21" xfId="60" applyNumberFormat="1" applyFont="1" applyFill="1" applyBorder="1" applyProtection="1">
      <alignment/>
      <protection locked="0"/>
    </xf>
    <xf numFmtId="2" fontId="20" fillId="0" borderId="21" xfId="60" applyNumberFormat="1" applyFont="1" applyFill="1" applyBorder="1">
      <alignment/>
      <protection/>
    </xf>
    <xf numFmtId="173" fontId="20" fillId="0" borderId="0" xfId="60" applyNumberFormat="1" applyFont="1" applyFill="1" applyBorder="1" applyAlignment="1">
      <alignment horizontal="center"/>
      <protection/>
    </xf>
    <xf numFmtId="2" fontId="20" fillId="0" borderId="21" xfId="60" applyNumberFormat="1" applyFont="1" applyFill="1" applyBorder="1" applyAlignment="1">
      <alignment horizontal="right"/>
      <protection/>
    </xf>
    <xf numFmtId="173" fontId="21" fillId="0" borderId="40" xfId="60" applyNumberFormat="1" applyFont="1" applyFill="1" applyBorder="1" applyAlignment="1">
      <alignment/>
      <protection/>
    </xf>
    <xf numFmtId="0" fontId="20" fillId="0" borderId="0" xfId="58" applyFont="1" applyFill="1" applyBorder="1" applyAlignment="1">
      <alignment horizontal="center"/>
      <protection/>
    </xf>
    <xf numFmtId="2" fontId="20" fillId="0" borderId="21" xfId="60" applyNumberFormat="1" applyFont="1" applyFill="1" applyBorder="1" applyAlignment="1">
      <alignment/>
      <protection/>
    </xf>
    <xf numFmtId="2" fontId="21" fillId="0" borderId="21" xfId="60" applyNumberFormat="1" applyFont="1" applyFill="1" applyBorder="1" applyAlignment="1">
      <alignment horizontal="right"/>
      <protection/>
    </xf>
    <xf numFmtId="4" fontId="20" fillId="0" borderId="40" xfId="58" applyNumberFormat="1" applyFont="1" applyFill="1" applyBorder="1" applyAlignment="1">
      <alignment/>
      <protection/>
    </xf>
    <xf numFmtId="2" fontId="21" fillId="0" borderId="21" xfId="60" applyNumberFormat="1" applyFont="1" applyFill="1" applyBorder="1" applyAlignment="1">
      <alignment/>
      <protection/>
    </xf>
    <xf numFmtId="173" fontId="20" fillId="0" borderId="35" xfId="60" applyNumberFormat="1" applyFont="1" applyFill="1" applyBorder="1" applyAlignment="1">
      <alignment/>
      <protection/>
    </xf>
    <xf numFmtId="0" fontId="83" fillId="0" borderId="0" xfId="59" applyNumberFormat="1" applyFont="1">
      <alignment/>
      <protection/>
    </xf>
    <xf numFmtId="173" fontId="21" fillId="0" borderId="0" xfId="60" applyNumberFormat="1" applyFont="1" applyFill="1" applyAlignment="1">
      <alignment horizontal="center"/>
      <protection/>
    </xf>
    <xf numFmtId="2" fontId="21" fillId="0" borderId="0" xfId="60" applyNumberFormat="1" applyFont="1" applyFill="1" applyAlignment="1">
      <alignment horizontal="center"/>
      <protection/>
    </xf>
    <xf numFmtId="173" fontId="21" fillId="0" borderId="0" xfId="60" applyNumberFormat="1" applyFont="1" applyFill="1" applyBorder="1" applyAlignment="1">
      <alignment horizontal="center"/>
      <protection/>
    </xf>
    <xf numFmtId="0" fontId="20" fillId="0" borderId="0" xfId="60" applyFont="1" applyFill="1">
      <alignment/>
      <protection/>
    </xf>
    <xf numFmtId="2" fontId="20" fillId="0" borderId="46" xfId="60" applyNumberFormat="1" applyFont="1" applyFill="1" applyBorder="1" applyAlignment="1">
      <alignment horizontal="left"/>
      <protection/>
    </xf>
    <xf numFmtId="0" fontId="83" fillId="0" borderId="0" xfId="59" applyFont="1">
      <alignment/>
      <protection/>
    </xf>
    <xf numFmtId="4" fontId="20" fillId="0" borderId="35" xfId="58" applyNumberFormat="1" applyFont="1" applyFill="1" applyBorder="1" applyAlignment="1">
      <alignment/>
      <protection/>
    </xf>
    <xf numFmtId="0" fontId="20" fillId="0" borderId="40" xfId="58" applyFont="1" applyFill="1" applyBorder="1">
      <alignment/>
      <protection/>
    </xf>
    <xf numFmtId="0" fontId="6" fillId="0" borderId="0" xfId="58" applyFont="1" applyFill="1" applyBorder="1">
      <alignment/>
      <protection/>
    </xf>
    <xf numFmtId="4" fontId="20" fillId="0" borderId="0" xfId="58" applyNumberFormat="1" applyFont="1" applyFill="1">
      <alignment/>
      <protection/>
    </xf>
    <xf numFmtId="4" fontId="21" fillId="0" borderId="16" xfId="58" applyNumberFormat="1" applyFont="1" applyFill="1" applyBorder="1" applyAlignment="1">
      <alignment horizontal="center"/>
      <protection/>
    </xf>
    <xf numFmtId="4" fontId="20" fillId="0" borderId="0" xfId="58" applyNumberFormat="1" applyFont="1" applyFill="1" applyBorder="1">
      <alignment/>
      <protection/>
    </xf>
    <xf numFmtId="2" fontId="21" fillId="0" borderId="21" xfId="60" applyNumberFormat="1" applyFont="1" applyFill="1" applyBorder="1">
      <alignment/>
      <protection/>
    </xf>
    <xf numFmtId="2" fontId="21" fillId="0" borderId="0" xfId="60" applyNumberFormat="1" applyFont="1" applyFill="1" applyBorder="1" applyAlignment="1">
      <alignment horizontal="center" wrapText="1"/>
      <protection/>
    </xf>
    <xf numFmtId="173" fontId="21" fillId="0" borderId="0" xfId="60" applyNumberFormat="1" applyFont="1" applyFill="1" applyBorder="1" applyAlignment="1">
      <alignment horizontal="left" vertical="center"/>
      <protection/>
    </xf>
    <xf numFmtId="173" fontId="21" fillId="0" borderId="23" xfId="60" applyNumberFormat="1" applyFont="1" applyFill="1" applyBorder="1">
      <alignment/>
      <protection/>
    </xf>
    <xf numFmtId="173" fontId="21" fillId="0" borderId="23" xfId="60" applyNumberFormat="1" applyFont="1" applyFill="1" applyBorder="1" applyAlignment="1">
      <alignment vertical="center"/>
      <protection/>
    </xf>
    <xf numFmtId="173" fontId="21" fillId="0" borderId="23" xfId="60" applyNumberFormat="1" applyFont="1" applyFill="1" applyBorder="1" applyAlignment="1">
      <alignment horizontal="center"/>
      <protection/>
    </xf>
    <xf numFmtId="173" fontId="46" fillId="0" borderId="0" xfId="60" applyNumberFormat="1" applyFont="1" applyFill="1" applyBorder="1" applyAlignment="1">
      <alignment/>
      <protection/>
    </xf>
    <xf numFmtId="2" fontId="39" fillId="0" borderId="0" xfId="60" applyNumberFormat="1" applyFont="1" applyFill="1" applyBorder="1" applyAlignment="1">
      <alignment horizontal="left"/>
      <protection/>
    </xf>
    <xf numFmtId="0" fontId="0" fillId="0" borderId="0" xfId="0" applyFont="1" applyAlignment="1">
      <alignment/>
    </xf>
    <xf numFmtId="4" fontId="21" fillId="0" borderId="23" xfId="60" applyNumberFormat="1" applyFont="1" applyFill="1" applyBorder="1" applyAlignment="1" quotePrefix="1">
      <alignment horizontal="center"/>
      <protection/>
    </xf>
    <xf numFmtId="173" fontId="46" fillId="0" borderId="0" xfId="60" applyNumberFormat="1" applyFont="1" applyFill="1" applyBorder="1" applyAlignment="1">
      <alignment horizontal="left"/>
      <protection/>
    </xf>
    <xf numFmtId="2" fontId="39" fillId="0" borderId="0" xfId="60" applyNumberFormat="1" applyFont="1" applyFill="1" applyBorder="1" applyAlignment="1">
      <alignment horizontal="right"/>
      <protection/>
    </xf>
    <xf numFmtId="0" fontId="21" fillId="0" borderId="0" xfId="58" applyFont="1" applyFill="1" applyBorder="1" applyAlignment="1">
      <alignment horizontal="center"/>
      <protection/>
    </xf>
    <xf numFmtId="173" fontId="39" fillId="0" borderId="0" xfId="60" applyNumberFormat="1" applyFont="1" applyFill="1" applyBorder="1" applyAlignment="1">
      <alignment/>
      <protection/>
    </xf>
    <xf numFmtId="0" fontId="0" fillId="0" borderId="0" xfId="0" applyFont="1" applyFill="1" applyAlignment="1">
      <alignment/>
    </xf>
    <xf numFmtId="173" fontId="20" fillId="0" borderId="0" xfId="60" applyNumberFormat="1" applyFont="1" applyFill="1" applyBorder="1" applyAlignment="1" quotePrefix="1">
      <alignment horizontal="left" vertical="center"/>
      <protection/>
    </xf>
    <xf numFmtId="173" fontId="20" fillId="0" borderId="0" xfId="60" applyNumberFormat="1" applyFont="1" applyFill="1" applyBorder="1" applyAlignment="1" quotePrefix="1">
      <alignment/>
      <protection/>
    </xf>
    <xf numFmtId="2" fontId="0" fillId="0" borderId="0" xfId="0" applyNumberFormat="1" applyFont="1" applyFill="1" applyAlignment="1">
      <alignment/>
    </xf>
    <xf numFmtId="2" fontId="20" fillId="0" borderId="21" xfId="60" applyNumberFormat="1" applyFont="1" applyFill="1" applyBorder="1" applyAlignment="1">
      <alignment horizontal="center"/>
      <protection/>
    </xf>
    <xf numFmtId="2" fontId="20" fillId="0" borderId="21" xfId="60" applyNumberFormat="1" applyFont="1" applyFill="1" applyBorder="1" applyAlignment="1">
      <alignment horizontal="left"/>
      <protection/>
    </xf>
    <xf numFmtId="1" fontId="20" fillId="0" borderId="0" xfId="60" applyNumberFormat="1" applyFont="1" applyFill="1" applyBorder="1" applyAlignment="1">
      <alignment horizontal="right" vertical="center"/>
      <protection/>
    </xf>
    <xf numFmtId="0" fontId="0" fillId="0" borderId="0" xfId="0" applyFont="1" applyAlignment="1" applyProtection="1">
      <alignment/>
      <protection/>
    </xf>
    <xf numFmtId="0" fontId="0" fillId="0" borderId="51" xfId="0" applyFont="1" applyBorder="1" applyAlignment="1">
      <alignment/>
    </xf>
    <xf numFmtId="0" fontId="0" fillId="0" borderId="33" xfId="0" applyFont="1" applyBorder="1" applyAlignment="1">
      <alignment/>
    </xf>
    <xf numFmtId="0" fontId="0" fillId="0" borderId="33" xfId="0" applyFont="1" applyBorder="1" applyAlignment="1" applyProtection="1">
      <alignment/>
      <protection/>
    </xf>
    <xf numFmtId="0" fontId="0" fillId="0" borderId="52" xfId="0" applyFont="1" applyBorder="1" applyAlignment="1" applyProtection="1">
      <alignment/>
      <protection/>
    </xf>
    <xf numFmtId="4" fontId="83" fillId="0" borderId="0" xfId="44" applyFont="1" applyFill="1" applyAlignment="1">
      <alignment/>
    </xf>
    <xf numFmtId="2" fontId="20" fillId="0" borderId="40" xfId="60" applyNumberFormat="1" applyFont="1" applyFill="1" applyBorder="1" applyAlignment="1">
      <alignment horizontal="right"/>
      <protection/>
    </xf>
    <xf numFmtId="43" fontId="21" fillId="0" borderId="21" xfId="42" applyFont="1" applyFill="1" applyBorder="1" applyAlignment="1">
      <alignment/>
    </xf>
    <xf numFmtId="43" fontId="20" fillId="0" borderId="21" xfId="42" applyFont="1" applyFill="1" applyBorder="1" applyAlignment="1" applyProtection="1">
      <alignment horizontal="right"/>
      <protection locked="0"/>
    </xf>
    <xf numFmtId="43" fontId="21" fillId="0" borderId="21" xfId="42" applyFont="1" applyFill="1" applyBorder="1" applyAlignment="1">
      <alignment horizontal="right"/>
    </xf>
    <xf numFmtId="43" fontId="20" fillId="0" borderId="21" xfId="42" applyFont="1" applyFill="1" applyBorder="1" applyAlignment="1">
      <alignment horizontal="right"/>
    </xf>
    <xf numFmtId="0" fontId="20" fillId="0" borderId="35" xfId="60" applyFont="1" applyFill="1" applyBorder="1">
      <alignment/>
      <protection/>
    </xf>
    <xf numFmtId="173" fontId="20" fillId="0" borderId="50" xfId="60" applyNumberFormat="1" applyFont="1" applyFill="1" applyBorder="1" applyAlignment="1">
      <alignment/>
      <protection/>
    </xf>
    <xf numFmtId="0" fontId="20" fillId="0" borderId="28" xfId="58" applyFont="1" applyFill="1" applyBorder="1">
      <alignment/>
      <protection/>
    </xf>
    <xf numFmtId="0" fontId="20" fillId="0" borderId="28" xfId="58" applyNumberFormat="1" applyFont="1" applyFill="1" applyBorder="1">
      <alignment/>
      <protection/>
    </xf>
    <xf numFmtId="4" fontId="20" fillId="0" borderId="28" xfId="58" applyNumberFormat="1" applyFont="1" applyFill="1" applyBorder="1">
      <alignment/>
      <protection/>
    </xf>
    <xf numFmtId="0" fontId="64" fillId="0" borderId="0" xfId="0" applyFont="1" applyFill="1" applyBorder="1" applyAlignment="1">
      <alignment/>
    </xf>
    <xf numFmtId="173" fontId="64" fillId="0" borderId="0" xfId="60" applyNumberFormat="1" applyFont="1" applyFill="1" applyBorder="1" applyAlignment="1">
      <alignment/>
      <protection/>
    </xf>
    <xf numFmtId="0" fontId="1" fillId="0" borderId="0" xfId="0" applyFont="1" applyFill="1" applyBorder="1" applyAlignment="1">
      <alignment/>
    </xf>
    <xf numFmtId="0" fontId="0" fillId="0" borderId="0" xfId="0" applyFont="1" applyFill="1" applyBorder="1" applyAlignment="1">
      <alignment/>
    </xf>
    <xf numFmtId="39" fontId="6" fillId="41" borderId="0" xfId="59" applyNumberFormat="1" applyFont="1" applyFill="1" applyBorder="1" applyAlignment="1">
      <alignment/>
      <protection/>
    </xf>
    <xf numFmtId="0" fontId="6" fillId="41" borderId="0" xfId="59" applyNumberFormat="1" applyFont="1" applyFill="1" applyBorder="1">
      <alignment/>
      <protection/>
    </xf>
    <xf numFmtId="4" fontId="6" fillId="41" borderId="0" xfId="44" applyFont="1" applyFill="1" applyBorder="1" applyAlignment="1">
      <alignment/>
    </xf>
    <xf numFmtId="4" fontId="6" fillId="41" borderId="0" xfId="44" applyFont="1" applyFill="1" applyBorder="1" applyAlignment="1">
      <alignment/>
    </xf>
    <xf numFmtId="39" fontId="6" fillId="41" borderId="0" xfId="59" applyNumberFormat="1" applyFont="1" applyFill="1" applyBorder="1" applyAlignment="1" applyProtection="1">
      <alignment/>
      <protection/>
    </xf>
    <xf numFmtId="10" fontId="6" fillId="41" borderId="0" xfId="63" applyNumberFormat="1" applyFont="1" applyFill="1" applyBorder="1" applyAlignment="1">
      <alignment/>
    </xf>
    <xf numFmtId="4" fontId="6" fillId="41" borderId="0" xfId="59" applyNumberFormat="1" applyFont="1" applyFill="1" applyBorder="1">
      <alignment/>
      <protection/>
    </xf>
    <xf numFmtId="0" fontId="0" fillId="0" borderId="28" xfId="59" applyFont="1" applyBorder="1" applyAlignment="1">
      <alignment horizontal="left"/>
      <protection/>
    </xf>
    <xf numFmtId="0" fontId="6" fillId="0" borderId="28" xfId="59" applyFont="1" applyBorder="1">
      <alignment/>
      <protection/>
    </xf>
    <xf numFmtId="4" fontId="6" fillId="0" borderId="28" xfId="44" applyFont="1" applyBorder="1" applyAlignment="1">
      <alignment/>
    </xf>
    <xf numFmtId="0" fontId="0" fillId="0" borderId="28" xfId="0" applyBorder="1" applyAlignment="1">
      <alignment/>
    </xf>
    <xf numFmtId="10" fontId="6" fillId="0" borderId="28" xfId="63" applyNumberFormat="1" applyFont="1" applyBorder="1" applyAlignment="1">
      <alignment/>
    </xf>
    <xf numFmtId="4" fontId="6" fillId="0" borderId="28" xfId="59" applyNumberFormat="1" applyFont="1" applyBorder="1">
      <alignment/>
      <protection/>
    </xf>
    <xf numFmtId="2" fontId="20" fillId="0" borderId="21" xfId="58" applyNumberFormat="1" applyFont="1" applyFill="1" applyBorder="1">
      <alignment/>
      <protection/>
    </xf>
    <xf numFmtId="2" fontId="20" fillId="0" borderId="21" xfId="60" applyNumberFormat="1" applyFont="1" applyFill="1" applyBorder="1" applyAlignment="1" applyProtection="1">
      <alignment horizontal="right"/>
      <protection locked="0"/>
    </xf>
    <xf numFmtId="2" fontId="38" fillId="0" borderId="21" xfId="60" applyNumberFormat="1" applyFont="1" applyFill="1" applyBorder="1" applyAlignment="1">
      <alignment horizontal="right"/>
      <protection/>
    </xf>
    <xf numFmtId="2" fontId="20" fillId="0" borderId="21" xfId="60" applyNumberFormat="1" applyFont="1" applyFill="1" applyBorder="1" applyAlignment="1" quotePrefix="1">
      <alignment horizontal="right"/>
      <protection/>
    </xf>
    <xf numFmtId="173" fontId="38" fillId="0" borderId="0" xfId="60" applyNumberFormat="1" applyFont="1" applyFill="1" applyBorder="1" applyAlignment="1">
      <alignment/>
      <protection/>
    </xf>
    <xf numFmtId="4" fontId="83" fillId="0" borderId="0" xfId="44" applyFont="1" applyFill="1" applyAlignment="1" applyProtection="1">
      <alignment/>
      <protection/>
    </xf>
    <xf numFmtId="10" fontId="5" fillId="0" borderId="37" xfId="63" applyNumberFormat="1" applyFont="1" applyFill="1" applyBorder="1" applyAlignment="1" applyProtection="1">
      <alignment horizontal="center" wrapText="1"/>
      <protection/>
    </xf>
    <xf numFmtId="173" fontId="20" fillId="0" borderId="0" xfId="60" applyNumberFormat="1" applyFont="1" applyFill="1" applyAlignment="1">
      <alignment horizontal="left" vertical="center"/>
      <protection/>
    </xf>
    <xf numFmtId="173" fontId="20" fillId="0" borderId="0" xfId="60" applyNumberFormat="1" applyFont="1" applyFill="1" applyBorder="1" applyAlignment="1">
      <alignment horizontal="left" vertical="center"/>
      <protection/>
    </xf>
    <xf numFmtId="173" fontId="43" fillId="0" borderId="0" xfId="60" applyNumberFormat="1" applyFont="1" applyFill="1" applyBorder="1" applyAlignment="1">
      <alignment horizontal="center"/>
      <protection/>
    </xf>
    <xf numFmtId="173" fontId="21" fillId="0" borderId="0" xfId="60" applyNumberFormat="1" applyFont="1" applyFill="1" applyBorder="1" applyAlignment="1">
      <alignment horizontal="center" vertical="center"/>
      <protection/>
    </xf>
    <xf numFmtId="173" fontId="20" fillId="0" borderId="0" xfId="60" applyNumberFormat="1" applyFont="1" applyFill="1" applyBorder="1" applyAlignment="1">
      <alignment horizont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FC ADM History FY1991-FY2007"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DM_Formtst" xfId="58"/>
    <cellStyle name="Normal_FC ADM History FY1991-FY2007" xfId="59"/>
    <cellStyle name="Normal_FCGRADE"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7</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1514475" y="0"/>
          <a:ext cx="2343150" cy="0"/>
        </a:xfrm>
        <a:prstGeom prst="rect">
          <a:avLst/>
        </a:prstGeom>
        <a:noFill/>
        <a:ln w="9525" cmpd="sng">
          <a:noFill/>
        </a:ln>
      </xdr:spPr>
    </xdr:pic>
    <xdr:clientData/>
  </xdr:twoCellAnchor>
  <xdr:twoCellAnchor>
    <xdr:from>
      <xdr:col>4</xdr:col>
      <xdr:colOff>285750</xdr:colOff>
      <xdr:row>33</xdr:row>
      <xdr:rowOff>161925</xdr:rowOff>
    </xdr:from>
    <xdr:to>
      <xdr:col>9</xdr:col>
      <xdr:colOff>523875</xdr:colOff>
      <xdr:row>46</xdr:row>
      <xdr:rowOff>123825</xdr:rowOff>
    </xdr:to>
    <xdr:sp>
      <xdr:nvSpPr>
        <xdr:cNvPr id="2" name="Text Box 6"/>
        <xdr:cNvSpPr txBox="1">
          <a:spLocks noChangeArrowheads="1"/>
        </xdr:cNvSpPr>
      </xdr:nvSpPr>
      <xdr:spPr>
        <a:xfrm>
          <a:off x="1800225" y="6076950"/>
          <a:ext cx="5448300" cy="2076450"/>
        </a:xfrm>
        <a:prstGeom prst="rect">
          <a:avLst/>
        </a:prstGeom>
        <a:solidFill>
          <a:srgbClr val="FFFFE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Projected ADM is calculated based on an average of the department's and district's ADM projections, except where the difference in the average percent change in ADM between the district and department is less than 0.5%, in which case the district's ADM projection is used.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In a case of declining enrollment shown by a district, districts' projections may be used to calculate GSF Eligible.  In such cases, this spreadsheet is only one tool that will be utilized to determine the GSF Eligible.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the existing square footage entered into cell I15 must include the square footage for all facilities in the attendance area in the student category identified under School Type (Cell H7).  For districts with more than one High School in an attendance area, the total square footage for all schools in the School Type must be included. For additional information contact DEED staff.</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7</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1514475" y="0"/>
          <a:ext cx="23431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7</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1514475" y="0"/>
          <a:ext cx="234315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F\DISTSUP\LEG96\CSSB70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Foundation_Formula\Foundation_Formula_99Pro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udents"/>
      <sheetName val="chng-ss"/>
      <sheetName val="Change Local"/>
      <sheetName val="proration"/>
      <sheetName val="Foundchng"/>
      <sheetName val="Holdharm"/>
      <sheetName val="foundation "/>
      <sheetName val="Suppequal"/>
      <sheetName val="section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rojected Spedbic"/>
      <sheetName val="FND99PJ"/>
      <sheetName val="ADM by School"/>
      <sheetName val="Proj Student Count"/>
      <sheetName val="Foundation Formula"/>
      <sheetName val="House Bill 294"/>
      <sheetName val=" FN 294"/>
      <sheetName val="Senate Bill 36"/>
      <sheetName val="FN36"/>
      <sheetName val="North Slope"/>
      <sheetName val="Factors"/>
    </sheetNames>
    <sheetDataSet>
      <sheetData sheetId="11">
        <row r="9">
          <cell r="D9">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pageSetUpPr fitToPage="1"/>
  </sheetPr>
  <dimension ref="B3:T522"/>
  <sheetViews>
    <sheetView tabSelected="1" zoomScalePageLayoutView="0" workbookViewId="0" topLeftCell="B1">
      <selection activeCell="C7" sqref="C7"/>
    </sheetView>
  </sheetViews>
  <sheetFormatPr defaultColWidth="9.140625" defaultRowHeight="12.75"/>
  <cols>
    <col min="1" max="1" width="9.140625" style="69" customWidth="1"/>
    <col min="2" max="2" width="18.57421875" style="69" customWidth="1"/>
    <col min="3" max="3" width="36.140625" style="69" customWidth="1"/>
    <col min="4" max="4" width="11.421875" style="69" customWidth="1"/>
    <col min="5" max="11" width="9.140625" style="69" bestFit="1" customWidth="1"/>
    <col min="12" max="12" width="9.57421875" style="69" customWidth="1"/>
    <col min="13" max="13" width="3.140625" style="69" customWidth="1"/>
    <col min="14" max="14" width="9.8515625" style="69" customWidth="1"/>
    <col min="15" max="15" width="9.7109375" style="69" customWidth="1"/>
    <col min="16" max="16" width="10.57421875" style="69" customWidth="1"/>
    <col min="17" max="17" width="37.28125" style="423" hidden="1" customWidth="1"/>
    <col min="18" max="18" width="4.421875" style="69" hidden="1" customWidth="1"/>
    <col min="19" max="19" width="8.421875" style="69" hidden="1" customWidth="1"/>
    <col min="20" max="16384" width="9.140625" style="69" customWidth="1"/>
  </cols>
  <sheetData>
    <row r="1" ht="12.75"/>
    <row r="2" ht="12.75"/>
    <row r="3" spans="2:7" ht="21" thickBot="1">
      <c r="B3" s="70"/>
      <c r="C3" s="71"/>
      <c r="D3" s="71"/>
      <c r="E3" s="71"/>
      <c r="F3" s="71"/>
      <c r="G3" s="71"/>
    </row>
    <row r="4" spans="2:15" s="72" customFormat="1" ht="24" customHeight="1" thickBot="1">
      <c r="B4" s="73" t="s">
        <v>32</v>
      </c>
      <c r="C4" s="74"/>
      <c r="D4" s="74"/>
      <c r="E4" s="74"/>
      <c r="F4" s="74"/>
      <c r="G4" s="74"/>
      <c r="H4" s="74"/>
      <c r="I4" s="74"/>
      <c r="J4" s="74"/>
      <c r="K4" s="74"/>
      <c r="L4" s="74"/>
      <c r="M4" s="74"/>
      <c r="N4" s="74"/>
      <c r="O4" s="75"/>
    </row>
    <row r="5" spans="2:15" s="72" customFormat="1" ht="15.75" customHeight="1">
      <c r="B5" s="76"/>
      <c r="C5" s="77"/>
      <c r="D5" s="77"/>
      <c r="E5" s="77"/>
      <c r="F5" s="77"/>
      <c r="G5" s="77"/>
      <c r="H5" s="77"/>
      <c r="I5" s="77"/>
      <c r="J5" s="77"/>
      <c r="K5" s="77"/>
      <c r="L5" s="77"/>
      <c r="M5" s="77"/>
      <c r="N5" s="77"/>
      <c r="O5" s="78"/>
    </row>
    <row r="6" spans="2:15" ht="14.25" customHeight="1">
      <c r="B6" s="79" t="s">
        <v>33</v>
      </c>
      <c r="C6" s="63" t="e">
        <f>VLOOKUP(NAME,'Current ADM'!$B$7:$L$700,11,FALSE)</f>
        <v>#N/A</v>
      </c>
      <c r="D6" s="63"/>
      <c r="E6" s="80"/>
      <c r="F6" s="81"/>
      <c r="G6" s="82"/>
      <c r="H6" s="313">
        <v>2018</v>
      </c>
      <c r="I6" s="83" t="s">
        <v>967</v>
      </c>
      <c r="J6" s="83"/>
      <c r="K6" s="83"/>
      <c r="L6" s="83"/>
      <c r="M6" s="83"/>
      <c r="N6" s="84"/>
      <c r="O6" s="85"/>
    </row>
    <row r="7" spans="2:15" ht="12.75">
      <c r="B7" s="79" t="s">
        <v>34</v>
      </c>
      <c r="C7" s="314"/>
      <c r="D7" s="19"/>
      <c r="E7" s="19"/>
      <c r="F7" s="19"/>
      <c r="G7" s="80"/>
      <c r="H7" s="80"/>
      <c r="I7" s="84"/>
      <c r="J7" s="84"/>
      <c r="K7" s="84"/>
      <c r="L7" s="84"/>
      <c r="M7" s="84"/>
      <c r="N7" s="84"/>
      <c r="O7" s="85"/>
    </row>
    <row r="8" spans="2:18" ht="12.75">
      <c r="B8" s="79" t="s">
        <v>35</v>
      </c>
      <c r="C8" s="336" t="s">
        <v>1285</v>
      </c>
      <c r="D8" s="66"/>
      <c r="E8" s="86"/>
      <c r="F8" s="86"/>
      <c r="G8" s="86"/>
      <c r="H8" s="86"/>
      <c r="I8" s="87"/>
      <c r="J8" s="87"/>
      <c r="K8" s="87"/>
      <c r="L8" s="87"/>
      <c r="M8" s="87"/>
      <c r="N8" s="87"/>
      <c r="O8" s="88"/>
      <c r="Q8" s="424" t="s">
        <v>30</v>
      </c>
      <c r="R8" s="311"/>
    </row>
    <row r="9" spans="2:18" ht="12.75">
      <c r="B9" s="79" t="s">
        <v>36</v>
      </c>
      <c r="C9" s="315" t="s">
        <v>28</v>
      </c>
      <c r="D9" s="63"/>
      <c r="E9" s="86"/>
      <c r="F9" s="86"/>
      <c r="G9" s="86"/>
      <c r="H9" s="86"/>
      <c r="I9" s="87"/>
      <c r="J9" s="87"/>
      <c r="K9" s="87"/>
      <c r="L9" s="87"/>
      <c r="M9" s="87"/>
      <c r="N9" s="87"/>
      <c r="O9" s="88"/>
      <c r="Q9" s="425" t="s">
        <v>31</v>
      </c>
      <c r="R9" s="311"/>
    </row>
    <row r="10" spans="2:18" ht="12.75">
      <c r="B10" s="79" t="s">
        <v>1054</v>
      </c>
      <c r="C10" s="63" t="e">
        <f>VLOOKUP(NAME,'Current ADM'!$B$7:$G$700,6,FALSE)</f>
        <v>#N/A</v>
      </c>
      <c r="D10" s="63"/>
      <c r="E10" s="80"/>
      <c r="F10" s="80"/>
      <c r="G10" s="80"/>
      <c r="H10" s="80"/>
      <c r="I10" s="84"/>
      <c r="J10" s="84"/>
      <c r="K10" s="84"/>
      <c r="L10" s="84"/>
      <c r="M10" s="84"/>
      <c r="N10" s="89"/>
      <c r="O10" s="90"/>
      <c r="Q10" s="425" t="s">
        <v>1237</v>
      </c>
      <c r="R10" s="311"/>
    </row>
    <row r="11" spans="2:18" ht="13.5" customHeight="1" thickBot="1">
      <c r="B11" s="91"/>
      <c r="C11" s="92"/>
      <c r="D11" s="92"/>
      <c r="E11" s="92"/>
      <c r="F11" s="92"/>
      <c r="G11" s="92"/>
      <c r="H11" s="92"/>
      <c r="I11" s="92"/>
      <c r="J11" s="92"/>
      <c r="K11" s="92"/>
      <c r="L11" s="92"/>
      <c r="M11" s="92"/>
      <c r="N11" s="93"/>
      <c r="O11" s="94"/>
      <c r="Q11" s="425" t="s">
        <v>29</v>
      </c>
      <c r="R11" s="311"/>
    </row>
    <row r="12" spans="2:18" ht="13.5" thickBot="1">
      <c r="B12" s="84"/>
      <c r="O12" s="84"/>
      <c r="Q12" s="426" t="s">
        <v>28</v>
      </c>
      <c r="R12" s="312"/>
    </row>
    <row r="13" spans="2:18" ht="18">
      <c r="B13" s="95" t="s">
        <v>37</v>
      </c>
      <c r="C13" s="96"/>
      <c r="D13" s="96"/>
      <c r="E13" s="96"/>
      <c r="F13" s="96"/>
      <c r="G13" s="96"/>
      <c r="H13" s="96"/>
      <c r="I13" s="96"/>
      <c r="J13" s="96"/>
      <c r="K13" s="96"/>
      <c r="L13" s="96"/>
      <c r="M13" s="96"/>
      <c r="N13" s="96"/>
      <c r="O13" s="97"/>
      <c r="Q13" s="427">
        <v>1</v>
      </c>
      <c r="R13" s="312"/>
    </row>
    <row r="14" spans="2:20" s="98" customFormat="1" ht="12.75">
      <c r="B14" s="99"/>
      <c r="C14" s="100"/>
      <c r="D14" s="100"/>
      <c r="E14" s="100"/>
      <c r="F14" s="100"/>
      <c r="G14" s="100"/>
      <c r="H14" s="101"/>
      <c r="I14" s="100"/>
      <c r="J14" s="100"/>
      <c r="K14" s="100"/>
      <c r="L14" s="100"/>
      <c r="M14" s="100"/>
      <c r="N14" s="101" t="s">
        <v>38</v>
      </c>
      <c r="O14" s="102" t="s">
        <v>39</v>
      </c>
      <c r="P14" s="69"/>
      <c r="Q14" s="423"/>
      <c r="R14" s="69"/>
      <c r="S14" s="69"/>
      <c r="T14" s="69"/>
    </row>
    <row r="15" spans="2:15" s="98" customFormat="1" ht="12">
      <c r="B15" s="103"/>
      <c r="C15" s="100"/>
      <c r="D15" s="100"/>
      <c r="E15" s="100"/>
      <c r="F15" s="100"/>
      <c r="G15" s="100"/>
      <c r="H15" s="101"/>
      <c r="I15" s="100"/>
      <c r="J15" s="100"/>
      <c r="K15" s="100"/>
      <c r="L15" s="100"/>
      <c r="M15" s="100"/>
      <c r="N15" s="101" t="s">
        <v>40</v>
      </c>
      <c r="O15" s="102" t="s">
        <v>41</v>
      </c>
    </row>
    <row r="16" spans="2:15" s="98" customFormat="1" ht="12" thickBot="1">
      <c r="B16" s="104"/>
      <c r="C16" s="194"/>
      <c r="D16" s="105">
        <f>H6-8</f>
        <v>2010</v>
      </c>
      <c r="E16" s="105">
        <f>D16+1</f>
        <v>2011</v>
      </c>
      <c r="F16" s="105">
        <f aca="true" t="shared" si="0" ref="F16:K16">E16+1</f>
        <v>2012</v>
      </c>
      <c r="G16" s="105">
        <f t="shared" si="0"/>
        <v>2013</v>
      </c>
      <c r="H16" s="105">
        <f t="shared" si="0"/>
        <v>2014</v>
      </c>
      <c r="I16" s="105">
        <f t="shared" si="0"/>
        <v>2015</v>
      </c>
      <c r="J16" s="105">
        <f t="shared" si="0"/>
        <v>2016</v>
      </c>
      <c r="K16" s="106">
        <f t="shared" si="0"/>
        <v>2017</v>
      </c>
      <c r="L16" s="105">
        <f>K16+1</f>
        <v>2018</v>
      </c>
      <c r="M16" s="107"/>
      <c r="N16" s="108" t="s">
        <v>42</v>
      </c>
      <c r="O16" s="109" t="s">
        <v>43</v>
      </c>
    </row>
    <row r="17" spans="2:20" ht="13.5" thickTop="1">
      <c r="B17" s="110"/>
      <c r="C17" s="195"/>
      <c r="G17" s="111"/>
      <c r="H17" s="111"/>
      <c r="I17" s="111"/>
      <c r="J17" s="111"/>
      <c r="K17" s="112"/>
      <c r="L17" s="113"/>
      <c r="M17" s="114"/>
      <c r="N17" s="112"/>
      <c r="O17" s="115"/>
      <c r="P17" s="98"/>
      <c r="Q17" s="98"/>
      <c r="R17" s="98"/>
      <c r="S17" s="98"/>
      <c r="T17" s="98"/>
    </row>
    <row r="18" spans="2:20" s="116" customFormat="1" ht="12.75">
      <c r="B18" s="147" t="s">
        <v>44</v>
      </c>
      <c r="C18" s="191"/>
      <c r="D18" s="193" t="e">
        <f>IF($C$10="community"," ",VLOOKUP($C$10,'Worksheet 1'!$C$4:$AM$367,21,FALSE))</f>
        <v>#N/A</v>
      </c>
      <c r="E18" s="171" t="e">
        <f>IF($C$10="community"," ",VLOOKUP($C$10,'Worksheet 1'!$C$4:$AM$367,22,FALSE))</f>
        <v>#N/A</v>
      </c>
      <c r="F18" s="171" t="e">
        <f>IF($C$10="community"," ",VLOOKUP($C$10,'Worksheet 1'!$C$4:$AM$367,23,FALSE))</f>
        <v>#N/A</v>
      </c>
      <c r="G18" s="171" t="e">
        <f>IF($C$10="community"," ",VLOOKUP($C$10,'Worksheet 1'!$C$4:$AM$367,24,FALSE))</f>
        <v>#N/A</v>
      </c>
      <c r="H18" s="171" t="e">
        <f>IF($C$10="community"," ",VLOOKUP($C$10,'Worksheet 1'!$C$4:$AM$367,25,FALSE))</f>
        <v>#N/A</v>
      </c>
      <c r="I18" s="171" t="e">
        <f>IF($C$10="community"," ",VLOOKUP($C$10,'Worksheet 1'!$C$4:$AM$367,26,FALSE))</f>
        <v>#N/A</v>
      </c>
      <c r="J18" s="171" t="e">
        <f>IF($C$10="community"," ",VLOOKUP($C$10,'Worksheet 1'!$C$4:$AM$367,27,FALSE))</f>
        <v>#N/A</v>
      </c>
      <c r="K18" s="171" t="e">
        <f>IF($C$10="community"," ",VLOOKUP($C$10,'Worksheet 1'!$C$4:$AM$367,28,FALSE))</f>
        <v>#N/A</v>
      </c>
      <c r="L18" s="171" t="e">
        <f>IF($C$10="community"," ",VLOOKUP($C$10,'Worksheet 1'!$C$4:$AM$367,29,FALSE))</f>
        <v>#N/A</v>
      </c>
      <c r="M18" s="118"/>
      <c r="N18" s="119" t="e">
        <f>IF(C10="community"," ",(((E18-D18)/D18+(F18-E18)/E18+(G18-F18)/F18+(H18-G18)/G18+(I18-H18)/H18+(J18-I18)/I18+(K18-J18)/J18+(L18-K18)/K18))/8)</f>
        <v>#N/A</v>
      </c>
      <c r="O18" s="120" t="e">
        <f>IF(C10="community"," ",(L18-D18)/D18)</f>
        <v>#N/A</v>
      </c>
      <c r="P18" s="69"/>
      <c r="Q18" s="423"/>
      <c r="R18" s="69"/>
      <c r="S18" s="69"/>
      <c r="T18" s="69"/>
    </row>
    <row r="19" spans="2:15" s="116" customFormat="1" ht="12.75">
      <c r="B19" s="121"/>
      <c r="D19" s="122"/>
      <c r="E19" s="122"/>
      <c r="F19" s="122"/>
      <c r="G19" s="122"/>
      <c r="H19" s="122"/>
      <c r="I19" s="122"/>
      <c r="J19" s="123"/>
      <c r="K19" s="123"/>
      <c r="L19" s="123"/>
      <c r="M19" s="123"/>
      <c r="N19" s="124"/>
      <c r="O19" s="125"/>
    </row>
    <row r="20" spans="2:15" s="116" customFormat="1" ht="12.75">
      <c r="B20" s="126"/>
      <c r="D20" s="127"/>
      <c r="E20" s="127"/>
      <c r="F20" s="127"/>
      <c r="G20" s="127"/>
      <c r="H20" s="127"/>
      <c r="I20" s="127"/>
      <c r="J20" s="127"/>
      <c r="K20" s="127"/>
      <c r="L20" s="127"/>
      <c r="M20" s="127"/>
      <c r="N20" s="128"/>
      <c r="O20" s="129"/>
    </row>
    <row r="21" spans="2:15" s="116" customFormat="1" ht="18">
      <c r="B21" s="130" t="s">
        <v>45</v>
      </c>
      <c r="C21" s="130"/>
      <c r="D21" s="131"/>
      <c r="E21" s="131"/>
      <c r="F21" s="131"/>
      <c r="G21" s="131"/>
      <c r="H21" s="131"/>
      <c r="I21" s="131"/>
      <c r="J21" s="131"/>
      <c r="K21" s="131"/>
      <c r="L21" s="131"/>
      <c r="M21" s="131"/>
      <c r="N21" s="132"/>
      <c r="O21" s="133"/>
    </row>
    <row r="22" spans="2:20" s="134" customFormat="1" ht="12.75">
      <c r="B22" s="103"/>
      <c r="D22" s="135"/>
      <c r="E22" s="135"/>
      <c r="F22" s="135"/>
      <c r="G22" s="135"/>
      <c r="H22" s="135"/>
      <c r="I22" s="135"/>
      <c r="J22" s="135"/>
      <c r="K22" s="135"/>
      <c r="L22" s="135"/>
      <c r="M22" s="135"/>
      <c r="N22" s="101" t="s">
        <v>38</v>
      </c>
      <c r="O22" s="102" t="s">
        <v>39</v>
      </c>
      <c r="P22" s="116"/>
      <c r="Q22" s="116"/>
      <c r="R22" s="116"/>
      <c r="S22" s="116"/>
      <c r="T22" s="116"/>
    </row>
    <row r="23" spans="2:15" s="134" customFormat="1" ht="12">
      <c r="B23" s="103"/>
      <c r="D23" s="135"/>
      <c r="E23" s="135"/>
      <c r="F23" s="135"/>
      <c r="G23" s="135"/>
      <c r="H23" s="135"/>
      <c r="I23" s="135"/>
      <c r="J23" s="135"/>
      <c r="K23" s="135"/>
      <c r="L23" s="135"/>
      <c r="M23" s="135"/>
      <c r="N23" s="101" t="s">
        <v>40</v>
      </c>
      <c r="O23" s="102" t="s">
        <v>41</v>
      </c>
    </row>
    <row r="24" spans="2:20" s="98" customFormat="1" ht="12" thickBot="1">
      <c r="B24" s="136"/>
      <c r="C24" s="187"/>
      <c r="D24" s="137"/>
      <c r="E24" s="137" t="str">
        <f>VLOOKUP(L16,$R$42:$S$135,2)</f>
        <v>2018-2019</v>
      </c>
      <c r="F24" s="137" t="str">
        <f>VLOOKUP(L16+1,$R$42:$S$135,2)</f>
        <v>2019-2020</v>
      </c>
      <c r="G24" s="137" t="str">
        <f>VLOOKUP(L16+2,$R$42:$S$135,2)</f>
        <v>2020-2021</v>
      </c>
      <c r="H24" s="137" t="str">
        <f>VLOOKUP(L16+3,$R$42:$S$135,2)</f>
        <v>2021-2022</v>
      </c>
      <c r="I24" s="137" t="str">
        <f>VLOOKUP(L16+4,$R$42:$S$135,2)</f>
        <v>2022-2023</v>
      </c>
      <c r="J24" s="137" t="str">
        <f>VLOOKUP(L16+5,$R$42:$S$135,2)</f>
        <v>2023-2024</v>
      </c>
      <c r="K24" s="137" t="str">
        <f>VLOOKUP(L16+6,$R$42:$S$135,2)</f>
        <v>2024-2025</v>
      </c>
      <c r="L24" s="137" t="str">
        <f>VLOOKUP(L16+7,$R$42:$S$135,2)</f>
        <v>2025-2026</v>
      </c>
      <c r="M24" s="138"/>
      <c r="N24" s="139" t="s">
        <v>42</v>
      </c>
      <c r="O24" s="140" t="s">
        <v>43</v>
      </c>
      <c r="P24" s="134"/>
      <c r="Q24" s="134"/>
      <c r="R24" s="134"/>
      <c r="S24" s="134"/>
      <c r="T24" s="134"/>
    </row>
    <row r="25" spans="2:20" ht="13.5" thickTop="1">
      <c r="B25" s="186"/>
      <c r="C25" s="190"/>
      <c r="D25" s="141"/>
      <c r="E25" s="141"/>
      <c r="F25" s="141"/>
      <c r="G25" s="141"/>
      <c r="H25" s="141"/>
      <c r="I25" s="141"/>
      <c r="J25" s="141"/>
      <c r="K25" s="141"/>
      <c r="L25" s="141"/>
      <c r="M25" s="142"/>
      <c r="N25" s="143"/>
      <c r="O25" s="144"/>
      <c r="P25" s="98"/>
      <c r="Q25" s="98"/>
      <c r="R25" s="98"/>
      <c r="S25" s="98"/>
      <c r="T25" s="98"/>
    </row>
    <row r="26" spans="2:20" s="116" customFormat="1" ht="12.75">
      <c r="B26" s="147" t="s">
        <v>50</v>
      </c>
      <c r="C26" s="191"/>
      <c r="D26" s="188" t="s">
        <v>51</v>
      </c>
      <c r="E26" s="145" t="e">
        <f>IF(FCrate&gt;0,ELEM+(ELEM*FCrate),ELEM)</f>
        <v>#N/A</v>
      </c>
      <c r="F26" s="145" t="e">
        <f>IF(FCrate&gt;0,E26+E26*FCrate,E26)</f>
        <v>#N/A</v>
      </c>
      <c r="G26" s="145" t="e">
        <f aca="true" t="shared" si="1" ref="F26:L27">IF(FCrate&gt;0,F26+F26*FCrate,F26)</f>
        <v>#N/A</v>
      </c>
      <c r="H26" s="145" t="e">
        <f t="shared" si="1"/>
        <v>#N/A</v>
      </c>
      <c r="I26" s="145" t="e">
        <f t="shared" si="1"/>
        <v>#N/A</v>
      </c>
      <c r="J26" s="145" t="e">
        <f t="shared" si="1"/>
        <v>#N/A</v>
      </c>
      <c r="K26" s="145" t="e">
        <f t="shared" si="1"/>
        <v>#N/A</v>
      </c>
      <c r="L26" s="145" t="e">
        <f>IF(FCrate&gt;0,K26+K26*FCrate,K26)</f>
        <v>#N/A</v>
      </c>
      <c r="M26" s="146"/>
      <c r="N26" s="119" t="e">
        <f>IF(K32=0," ",(((E26-ELEM)/ELEM+(F26-E26)/E26+(G26-F26)/F26+(H26-G26)/G26+(I26-H26)/H26+(J26-I26)/I26+(K26-J26)/J26+(L26-K26)/K26))/8)</f>
        <v>#N/A</v>
      </c>
      <c r="O26" s="120" t="e">
        <f>IF(K32=0," ",(L26-ELEM)/ELEM)</f>
        <v>#N/A</v>
      </c>
      <c r="P26" s="69"/>
      <c r="Q26" s="423"/>
      <c r="R26" s="69"/>
      <c r="S26" s="69"/>
      <c r="T26" s="69"/>
    </row>
    <row r="27" spans="2:15" s="116" customFormat="1" ht="12.75">
      <c r="B27" s="147" t="s">
        <v>52</v>
      </c>
      <c r="C27" s="191"/>
      <c r="D27" s="188" t="s">
        <v>51</v>
      </c>
      <c r="E27" s="145" t="e">
        <f>IF(FCrate&gt;0,SEC+(SEC*FCrate),SEC)</f>
        <v>#N/A</v>
      </c>
      <c r="F27" s="145" t="e">
        <f t="shared" si="1"/>
        <v>#N/A</v>
      </c>
      <c r="G27" s="145" t="e">
        <f t="shared" si="1"/>
        <v>#N/A</v>
      </c>
      <c r="H27" s="145" t="e">
        <f t="shared" si="1"/>
        <v>#N/A</v>
      </c>
      <c r="I27" s="145" t="e">
        <f t="shared" si="1"/>
        <v>#N/A</v>
      </c>
      <c r="J27" s="145" t="e">
        <f t="shared" si="1"/>
        <v>#N/A</v>
      </c>
      <c r="K27" s="145" t="e">
        <f t="shared" si="1"/>
        <v>#N/A</v>
      </c>
      <c r="L27" s="145" t="e">
        <f t="shared" si="1"/>
        <v>#N/A</v>
      </c>
      <c r="M27" s="146"/>
      <c r="N27" s="119" t="e">
        <f>IF(K33=0," ",(((E27-SEC)/SEC+(F27-E27)/E27+(G27-F27)/F27+(H27-G27)/G27+(I27-H27)/H27+(J27-I27)/I27+(K27-J27)/J27+(L27-K27)/K27))/8)</f>
        <v>#N/A</v>
      </c>
      <c r="O27" s="120" t="e">
        <f>IF(K33=0," ",(L27-SEC)/SEC)</f>
        <v>#N/A</v>
      </c>
    </row>
    <row r="28" spans="2:20" ht="13.5" thickBot="1">
      <c r="B28" s="147"/>
      <c r="C28" s="191"/>
      <c r="D28" s="148"/>
      <c r="E28" s="148"/>
      <c r="F28" s="148"/>
      <c r="G28" s="148"/>
      <c r="H28" s="149"/>
      <c r="I28" s="150"/>
      <c r="J28" s="148"/>
      <c r="K28" s="150"/>
      <c r="L28" s="150"/>
      <c r="M28" s="151"/>
      <c r="N28" s="152"/>
      <c r="O28" s="153"/>
      <c r="P28" s="116"/>
      <c r="Q28" s="116"/>
      <c r="R28" s="116"/>
      <c r="S28" s="116"/>
      <c r="T28" s="116"/>
    </row>
    <row r="29" spans="2:20" s="116" customFormat="1" ht="14.25" thickBot="1" thickTop="1">
      <c r="B29" s="147" t="s">
        <v>53</v>
      </c>
      <c r="C29" s="191"/>
      <c r="D29" s="189" t="s">
        <v>51</v>
      </c>
      <c r="E29" s="117" t="e">
        <f>IF($K32=0," ",ELEM*(1+doek6))</f>
        <v>#N/A</v>
      </c>
      <c r="F29" s="117" t="e">
        <f aca="true" t="shared" si="2" ref="F29:L29">IF($K32=0," ",E29*(1+doek6))</f>
        <v>#N/A</v>
      </c>
      <c r="G29" s="117" t="e">
        <f t="shared" si="2"/>
        <v>#N/A</v>
      </c>
      <c r="H29" s="117" t="e">
        <f t="shared" si="2"/>
        <v>#N/A</v>
      </c>
      <c r="I29" s="117" t="e">
        <f t="shared" si="2"/>
        <v>#N/A</v>
      </c>
      <c r="J29" s="117" t="e">
        <f t="shared" si="2"/>
        <v>#N/A</v>
      </c>
      <c r="K29" s="117" t="e">
        <f t="shared" si="2"/>
        <v>#N/A</v>
      </c>
      <c r="L29" s="117" t="e">
        <f t="shared" si="2"/>
        <v>#N/A</v>
      </c>
      <c r="M29" s="154"/>
      <c r="N29" s="155" t="e">
        <f>IF(K32=0," ",IF(sdk6&gt;=FCrate,IF(AVERAGE(sdk6,FCrate)&lt;0,0,AVERAGE(sdk6,FCrate)),IF(FCrate&lt;0,0,sdk6)))</f>
        <v>#N/A</v>
      </c>
      <c r="O29" s="156" t="e">
        <f>IF(K32=0," ",(L29-K32)/K32)</f>
        <v>#N/A</v>
      </c>
      <c r="P29" s="69"/>
      <c r="Q29" s="423"/>
      <c r="R29" s="69"/>
      <c r="S29" s="69"/>
      <c r="T29" s="69"/>
    </row>
    <row r="30" spans="2:15" s="116" customFormat="1" ht="14.25" thickBot="1" thickTop="1">
      <c r="B30" s="147" t="s">
        <v>54</v>
      </c>
      <c r="C30" s="191"/>
      <c r="D30" s="189" t="s">
        <v>51</v>
      </c>
      <c r="E30" s="117" t="e">
        <f>IF($K33=0," ",SEC*(1+doe712))</f>
        <v>#N/A</v>
      </c>
      <c r="F30" s="117" t="e">
        <f aca="true" t="shared" si="3" ref="F30:L30">IF($K33=0," ",E30*(1+doe712))</f>
        <v>#N/A</v>
      </c>
      <c r="G30" s="117" t="e">
        <f t="shared" si="3"/>
        <v>#N/A</v>
      </c>
      <c r="H30" s="117" t="e">
        <f t="shared" si="3"/>
        <v>#N/A</v>
      </c>
      <c r="I30" s="117" t="e">
        <f t="shared" si="3"/>
        <v>#N/A</v>
      </c>
      <c r="J30" s="117" t="e">
        <f t="shared" si="3"/>
        <v>#N/A</v>
      </c>
      <c r="K30" s="117" t="e">
        <f t="shared" si="3"/>
        <v>#N/A</v>
      </c>
      <c r="L30" s="117" t="e">
        <f t="shared" si="3"/>
        <v>#N/A</v>
      </c>
      <c r="M30" s="154"/>
      <c r="N30" s="155" t="e">
        <f>IF(K33=0," ",IF(sd712&gt;=FCrate,IF(AVERAGE(sd712,FCrate)&lt;0,0,AVERAGE(sd712,FCrate)),IF(FCrate&lt;0,0,sd712)))</f>
        <v>#N/A</v>
      </c>
      <c r="O30" s="156" t="e">
        <f>IF(K33=0," ",(L30-SEC)/SEC)</f>
        <v>#N/A</v>
      </c>
    </row>
    <row r="31" spans="2:20" ht="13.5" thickTop="1">
      <c r="B31" s="157"/>
      <c r="C31" s="158"/>
      <c r="D31" s="158"/>
      <c r="E31" s="158"/>
      <c r="F31" s="158"/>
      <c r="G31" s="158"/>
      <c r="H31" s="159"/>
      <c r="I31" s="160"/>
      <c r="J31" s="158"/>
      <c r="K31" s="160"/>
      <c r="L31" s="160"/>
      <c r="M31" s="160"/>
      <c r="N31" s="161"/>
      <c r="O31" s="162"/>
      <c r="P31" s="116"/>
      <c r="Q31" s="116"/>
      <c r="R31" s="116"/>
      <c r="S31" s="116"/>
      <c r="T31" s="116"/>
    </row>
    <row r="32" spans="2:15" ht="12.75">
      <c r="B32" s="359" t="s">
        <v>1297</v>
      </c>
      <c r="C32" s="158"/>
      <c r="D32" s="158"/>
      <c r="E32" s="158"/>
      <c r="F32" s="158"/>
      <c r="G32" s="158"/>
      <c r="H32" s="159"/>
      <c r="I32" s="158"/>
      <c r="J32" s="158"/>
      <c r="K32" s="164" t="e">
        <f>VLOOKUP(NAME,'Current ADM'!$B$7:$G$700,2,FALSE)</f>
        <v>#N/A</v>
      </c>
      <c r="L32" s="158" t="s">
        <v>55</v>
      </c>
      <c r="M32" s="158"/>
      <c r="N32" s="165"/>
      <c r="O32" s="166"/>
    </row>
    <row r="33" spans="2:15" ht="12.75">
      <c r="B33" s="163"/>
      <c r="C33" s="158"/>
      <c r="D33" s="158"/>
      <c r="E33" s="158"/>
      <c r="F33" s="158"/>
      <c r="G33" s="158"/>
      <c r="H33" s="159"/>
      <c r="I33" s="158"/>
      <c r="J33" s="158"/>
      <c r="K33" s="164" t="e">
        <f>VLOOKUP(NAME,'Current ADM'!$B$7:$G$700,3,FALSE)</f>
        <v>#N/A</v>
      </c>
      <c r="L33" s="158" t="s">
        <v>56</v>
      </c>
      <c r="M33" s="158"/>
      <c r="N33" s="165"/>
      <c r="O33" s="166"/>
    </row>
    <row r="34" spans="2:15" ht="13.5" thickBot="1">
      <c r="B34" s="167"/>
      <c r="C34" s="168"/>
      <c r="D34" s="168"/>
      <c r="E34" s="168"/>
      <c r="F34" s="168"/>
      <c r="G34" s="168"/>
      <c r="H34" s="168"/>
      <c r="I34" s="168"/>
      <c r="J34" s="168"/>
      <c r="K34" s="168" t="s">
        <v>62</v>
      </c>
      <c r="L34" s="168"/>
      <c r="M34" s="168"/>
      <c r="N34" s="168"/>
      <c r="O34" s="169"/>
    </row>
    <row r="35" ht="12.75"/>
    <row r="36" ht="12.75">
      <c r="B36" s="170" t="s">
        <v>59</v>
      </c>
    </row>
    <row r="37" ht="12.75"/>
    <row r="38" ht="12.75"/>
    <row r="39" ht="12.75"/>
    <row r="40" spans="17:18" ht="12.75">
      <c r="Q40" s="116"/>
      <c r="R40" s="116"/>
    </row>
    <row r="41" spans="17:18" ht="12.75">
      <c r="Q41" s="175"/>
      <c r="R41" s="184"/>
    </row>
    <row r="42" spans="17:19" ht="12.75">
      <c r="Q42" s="172" t="s">
        <v>307</v>
      </c>
      <c r="R42" s="98">
        <v>2006</v>
      </c>
      <c r="S42" s="98" t="s">
        <v>46</v>
      </c>
    </row>
    <row r="43" spans="17:19" ht="12.75">
      <c r="Q43" s="172" t="s">
        <v>70</v>
      </c>
      <c r="R43" s="98">
        <v>2007</v>
      </c>
      <c r="S43" s="98" t="s">
        <v>47</v>
      </c>
    </row>
    <row r="44" spans="17:19" ht="12.75">
      <c r="Q44" s="361" t="s">
        <v>245</v>
      </c>
      <c r="R44" s="98">
        <v>2008</v>
      </c>
      <c r="S44" s="98" t="s">
        <v>48</v>
      </c>
    </row>
    <row r="45" spans="17:19" ht="12.75">
      <c r="Q45" s="361" t="s">
        <v>372</v>
      </c>
      <c r="R45" s="98">
        <v>2009</v>
      </c>
      <c r="S45" s="98" t="s">
        <v>49</v>
      </c>
    </row>
    <row r="46" spans="17:19" ht="12.75">
      <c r="Q46" s="361" t="s">
        <v>373</v>
      </c>
      <c r="R46" s="98">
        <v>2010</v>
      </c>
      <c r="S46" s="98" t="s">
        <v>57</v>
      </c>
    </row>
    <row r="47" spans="17:19" ht="12.75">
      <c r="Q47" s="361" t="s">
        <v>268</v>
      </c>
      <c r="R47" s="98">
        <v>2011</v>
      </c>
      <c r="S47" s="98" t="s">
        <v>58</v>
      </c>
    </row>
    <row r="48" spans="17:19" ht="12.75">
      <c r="Q48" s="361" t="s">
        <v>269</v>
      </c>
      <c r="R48" s="98">
        <v>2012</v>
      </c>
      <c r="S48" s="98" t="s">
        <v>60</v>
      </c>
    </row>
    <row r="49" spans="17:19" ht="12.75">
      <c r="Q49" s="172" t="s">
        <v>71</v>
      </c>
      <c r="R49" s="98">
        <v>2013</v>
      </c>
      <c r="S49" s="98" t="s">
        <v>61</v>
      </c>
    </row>
    <row r="50" spans="17:19" ht="12.75">
      <c r="Q50" s="172" t="s">
        <v>316</v>
      </c>
      <c r="R50" s="98">
        <v>2014</v>
      </c>
      <c r="S50" s="98" t="s">
        <v>968</v>
      </c>
    </row>
    <row r="51" spans="17:19" ht="12.75">
      <c r="Q51" s="361" t="s">
        <v>1068</v>
      </c>
      <c r="R51" s="98">
        <v>2015</v>
      </c>
      <c r="S51" s="98" t="s">
        <v>969</v>
      </c>
    </row>
    <row r="52" spans="17:19" ht="12.75">
      <c r="Q52" s="361" t="s">
        <v>348</v>
      </c>
      <c r="R52" s="98">
        <v>2016</v>
      </c>
      <c r="S52" s="98" t="s">
        <v>970</v>
      </c>
    </row>
    <row r="53" spans="17:19" ht="12.75">
      <c r="Q53" s="172" t="s">
        <v>368</v>
      </c>
      <c r="R53" s="98">
        <v>2017</v>
      </c>
      <c r="S53" s="98" t="s">
        <v>971</v>
      </c>
    </row>
    <row r="54" spans="17:19" ht="12.75">
      <c r="Q54" s="172" t="s">
        <v>322</v>
      </c>
      <c r="R54" s="98">
        <v>2018</v>
      </c>
      <c r="S54" s="98" t="s">
        <v>972</v>
      </c>
    </row>
    <row r="55" spans="17:19" ht="12.75">
      <c r="Q55" s="172" t="s">
        <v>169</v>
      </c>
      <c r="R55" s="98">
        <v>2019</v>
      </c>
      <c r="S55" s="98" t="s">
        <v>973</v>
      </c>
    </row>
    <row r="56" spans="17:19" ht="12.75">
      <c r="Q56" s="361" t="s">
        <v>164</v>
      </c>
      <c r="R56" s="98">
        <v>2020</v>
      </c>
      <c r="S56" s="98" t="s">
        <v>974</v>
      </c>
    </row>
    <row r="57" spans="17:19" ht="12.75">
      <c r="Q57" s="172" t="s">
        <v>1180</v>
      </c>
      <c r="R57" s="98">
        <v>2021</v>
      </c>
      <c r="S57" s="98" t="s">
        <v>975</v>
      </c>
    </row>
    <row r="58" spans="17:19" ht="12.75">
      <c r="Q58" s="361" t="s">
        <v>150</v>
      </c>
      <c r="R58" s="98">
        <v>2022</v>
      </c>
      <c r="S58" s="98" t="s">
        <v>976</v>
      </c>
    </row>
    <row r="59" spans="17:19" ht="12.75">
      <c r="Q59" s="172" t="s">
        <v>255</v>
      </c>
      <c r="R59" s="98">
        <v>2023</v>
      </c>
      <c r="S59" s="98" t="s">
        <v>977</v>
      </c>
    </row>
    <row r="60" spans="17:19" ht="12.75">
      <c r="Q60" s="361" t="s">
        <v>1294</v>
      </c>
      <c r="R60" s="98">
        <v>2024</v>
      </c>
      <c r="S60" s="98" t="s">
        <v>978</v>
      </c>
    </row>
    <row r="61" spans="17:19" ht="12.75">
      <c r="Q61" s="361" t="s">
        <v>1132</v>
      </c>
      <c r="R61" s="98">
        <v>2025</v>
      </c>
      <c r="S61" s="98" t="s">
        <v>979</v>
      </c>
    </row>
    <row r="62" spans="17:19" ht="12.75">
      <c r="Q62" s="361" t="s">
        <v>170</v>
      </c>
      <c r="R62" s="98">
        <v>2026</v>
      </c>
      <c r="S62" s="98" t="s">
        <v>980</v>
      </c>
    </row>
    <row r="63" spans="17:19" ht="12.75">
      <c r="Q63" s="172" t="s">
        <v>1221</v>
      </c>
      <c r="R63" s="98">
        <v>2027</v>
      </c>
      <c r="S63" s="98" t="s">
        <v>981</v>
      </c>
    </row>
    <row r="64" spans="17:19" ht="12.75">
      <c r="Q64" s="172" t="s">
        <v>1062</v>
      </c>
      <c r="R64" s="98">
        <v>2028</v>
      </c>
      <c r="S64" s="98" t="s">
        <v>982</v>
      </c>
    </row>
    <row r="65" spans="17:19" ht="12.75">
      <c r="Q65" s="361" t="s">
        <v>323</v>
      </c>
      <c r="R65" s="98">
        <v>2029</v>
      </c>
      <c r="S65" s="98" t="s">
        <v>983</v>
      </c>
    </row>
    <row r="66" spans="17:19" ht="12.75">
      <c r="Q66" s="361" t="s">
        <v>1206</v>
      </c>
      <c r="R66" s="98">
        <v>2030</v>
      </c>
      <c r="S66" s="98" t="s">
        <v>984</v>
      </c>
    </row>
    <row r="67" spans="17:19" ht="12.75">
      <c r="Q67" s="361" t="s">
        <v>171</v>
      </c>
      <c r="R67" s="98">
        <v>2031</v>
      </c>
      <c r="S67" s="98" t="s">
        <v>985</v>
      </c>
    </row>
    <row r="68" spans="17:19" ht="12.75">
      <c r="Q68" s="361" t="s">
        <v>362</v>
      </c>
      <c r="R68" s="98">
        <v>2032</v>
      </c>
      <c r="S68" s="98" t="s">
        <v>986</v>
      </c>
    </row>
    <row r="69" spans="17:19" ht="12.75">
      <c r="Q69" s="361" t="s">
        <v>1074</v>
      </c>
      <c r="R69" s="98">
        <v>2033</v>
      </c>
      <c r="S69" s="98" t="s">
        <v>987</v>
      </c>
    </row>
    <row r="70" spans="17:19" ht="12.75">
      <c r="Q70" s="361" t="s">
        <v>205</v>
      </c>
      <c r="R70" s="98">
        <v>2034</v>
      </c>
      <c r="S70" s="98" t="s">
        <v>988</v>
      </c>
    </row>
    <row r="71" spans="17:19" ht="12.75">
      <c r="Q71" s="361" t="s">
        <v>1124</v>
      </c>
      <c r="R71" s="98">
        <v>2035</v>
      </c>
      <c r="S71" s="98" t="s">
        <v>989</v>
      </c>
    </row>
    <row r="72" spans="17:19" ht="12.75">
      <c r="Q72" s="386" t="s">
        <v>1186</v>
      </c>
      <c r="R72" s="98">
        <v>2036</v>
      </c>
      <c r="S72" s="98" t="s">
        <v>990</v>
      </c>
    </row>
    <row r="73" spans="17:19" ht="12.75">
      <c r="Q73" s="361" t="s">
        <v>1135</v>
      </c>
      <c r="R73" s="98">
        <v>2037</v>
      </c>
      <c r="S73" s="98" t="s">
        <v>991</v>
      </c>
    </row>
    <row r="74" spans="17:19" ht="12.75">
      <c r="Q74" s="397" t="s">
        <v>1187</v>
      </c>
      <c r="R74" s="98">
        <v>2038</v>
      </c>
      <c r="S74" s="98" t="s">
        <v>992</v>
      </c>
    </row>
    <row r="75" spans="17:19" ht="12.75">
      <c r="Q75" s="361" t="s">
        <v>1133</v>
      </c>
      <c r="R75" s="98">
        <v>2039</v>
      </c>
      <c r="S75" s="98" t="s">
        <v>993</v>
      </c>
    </row>
    <row r="76" spans="17:19" ht="12.75">
      <c r="Q76" s="361" t="s">
        <v>338</v>
      </c>
      <c r="R76" s="98">
        <v>2040</v>
      </c>
      <c r="S76" s="98" t="s">
        <v>994</v>
      </c>
    </row>
    <row r="77" spans="17:19" ht="12.75">
      <c r="Q77" s="361" t="s">
        <v>172</v>
      </c>
      <c r="R77" s="98">
        <v>2041</v>
      </c>
      <c r="S77" s="98" t="s">
        <v>995</v>
      </c>
    </row>
    <row r="78" spans="17:19" ht="12.75">
      <c r="Q78" s="361" t="s">
        <v>317</v>
      </c>
      <c r="R78" s="98">
        <v>2042</v>
      </c>
      <c r="S78" s="98" t="s">
        <v>996</v>
      </c>
    </row>
    <row r="79" spans="17:19" ht="12.75">
      <c r="Q79" s="361" t="s">
        <v>363</v>
      </c>
      <c r="R79" s="98">
        <v>2043</v>
      </c>
      <c r="S79" s="98" t="s">
        <v>997</v>
      </c>
    </row>
    <row r="80" spans="17:19" ht="12.75">
      <c r="Q80" s="361" t="s">
        <v>173</v>
      </c>
      <c r="R80" s="98">
        <v>2044</v>
      </c>
      <c r="S80" s="98" t="s">
        <v>998</v>
      </c>
    </row>
    <row r="81" spans="17:19" ht="12.75">
      <c r="Q81" s="361" t="s">
        <v>1214</v>
      </c>
      <c r="R81" s="98">
        <v>2045</v>
      </c>
      <c r="S81" s="98" t="s">
        <v>999</v>
      </c>
    </row>
    <row r="82" spans="17:19" ht="12.75">
      <c r="Q82" s="361" t="s">
        <v>1144</v>
      </c>
      <c r="R82" s="98">
        <v>2046</v>
      </c>
      <c r="S82" s="98" t="s">
        <v>1000</v>
      </c>
    </row>
    <row r="83" spans="17:19" ht="12.75">
      <c r="Q83" s="361" t="s">
        <v>270</v>
      </c>
      <c r="R83" s="98">
        <v>2047</v>
      </c>
      <c r="S83" s="98" t="s">
        <v>1001</v>
      </c>
    </row>
    <row r="84" spans="17:19" ht="12.75">
      <c r="Q84" s="361" t="s">
        <v>283</v>
      </c>
      <c r="R84" s="98">
        <v>2048</v>
      </c>
      <c r="S84" s="98" t="s">
        <v>1002</v>
      </c>
    </row>
    <row r="85" spans="17:19" ht="12.75">
      <c r="Q85" s="361" t="s">
        <v>1113</v>
      </c>
      <c r="R85" s="98">
        <v>2049</v>
      </c>
      <c r="S85" s="98" t="s">
        <v>1003</v>
      </c>
    </row>
    <row r="86" spans="17:19" ht="12.75">
      <c r="Q86" s="361" t="s">
        <v>1281</v>
      </c>
      <c r="R86" s="98">
        <v>2050</v>
      </c>
      <c r="S86" s="98" t="s">
        <v>1004</v>
      </c>
    </row>
    <row r="87" spans="17:19" ht="12.75">
      <c r="Q87" s="361" t="s">
        <v>140</v>
      </c>
      <c r="R87" s="98">
        <v>2051</v>
      </c>
      <c r="S87" s="98" t="s">
        <v>1005</v>
      </c>
    </row>
    <row r="88" spans="17:19" ht="12.75">
      <c r="Q88" s="361" t="s">
        <v>149</v>
      </c>
      <c r="R88" s="98">
        <v>2052</v>
      </c>
      <c r="S88" s="98" t="s">
        <v>1006</v>
      </c>
    </row>
    <row r="89" spans="17:19" ht="12.75">
      <c r="Q89" s="361" t="s">
        <v>324</v>
      </c>
      <c r="R89" s="98">
        <v>2053</v>
      </c>
      <c r="S89" s="98" t="s">
        <v>1007</v>
      </c>
    </row>
    <row r="90" spans="17:19" ht="12.75">
      <c r="Q90" s="172" t="s">
        <v>311</v>
      </c>
      <c r="R90" s="98">
        <v>2054</v>
      </c>
      <c r="S90" s="98" t="s">
        <v>1008</v>
      </c>
    </row>
    <row r="91" spans="17:19" ht="12.75">
      <c r="Q91" s="361" t="s">
        <v>1145</v>
      </c>
      <c r="R91" s="98">
        <v>2055</v>
      </c>
      <c r="S91" s="98" t="s">
        <v>1009</v>
      </c>
    </row>
    <row r="92" spans="17:19" ht="12.75">
      <c r="Q92" s="172" t="s">
        <v>165</v>
      </c>
      <c r="R92" s="98">
        <v>2056</v>
      </c>
      <c r="S92" s="98" t="s">
        <v>1010</v>
      </c>
    </row>
    <row r="93" spans="17:19" ht="12.75">
      <c r="Q93" s="386" t="s">
        <v>1201</v>
      </c>
      <c r="R93" s="98">
        <v>2057</v>
      </c>
      <c r="S93" s="98" t="s">
        <v>1011</v>
      </c>
    </row>
    <row r="94" spans="17:19" ht="12.75">
      <c r="Q94" s="172" t="s">
        <v>1233</v>
      </c>
      <c r="R94" s="98">
        <v>2058</v>
      </c>
      <c r="S94" s="98" t="s">
        <v>1012</v>
      </c>
    </row>
    <row r="95" spans="17:19" ht="12.75">
      <c r="Q95" s="361" t="s">
        <v>153</v>
      </c>
      <c r="R95" s="98">
        <v>2059</v>
      </c>
      <c r="S95" s="98" t="s">
        <v>1013</v>
      </c>
    </row>
    <row r="96" spans="17:19" ht="12.75">
      <c r="Q96" s="361" t="s">
        <v>216</v>
      </c>
      <c r="R96" s="98">
        <v>2060</v>
      </c>
      <c r="S96" s="98" t="s">
        <v>1014</v>
      </c>
    </row>
    <row r="97" spans="17:19" ht="12.75">
      <c r="Q97" s="361" t="s">
        <v>1159</v>
      </c>
      <c r="R97" s="98">
        <v>2061</v>
      </c>
      <c r="S97" s="98" t="s">
        <v>1015</v>
      </c>
    </row>
    <row r="98" spans="17:19" ht="12.75">
      <c r="Q98" s="361" t="s">
        <v>1134</v>
      </c>
      <c r="R98" s="98">
        <v>2062</v>
      </c>
      <c r="S98" s="98" t="s">
        <v>1016</v>
      </c>
    </row>
    <row r="99" spans="17:19" ht="12.75">
      <c r="Q99" s="361" t="s">
        <v>256</v>
      </c>
      <c r="R99" s="98">
        <v>2063</v>
      </c>
      <c r="S99" s="98" t="s">
        <v>1017</v>
      </c>
    </row>
    <row r="100" spans="17:19" ht="12.75">
      <c r="Q100" s="361" t="s">
        <v>257</v>
      </c>
      <c r="R100" s="98">
        <v>2064</v>
      </c>
      <c r="S100" s="98" t="s">
        <v>1018</v>
      </c>
    </row>
    <row r="101" spans="17:19" ht="12.75">
      <c r="Q101" s="361" t="s">
        <v>258</v>
      </c>
      <c r="R101" s="98">
        <v>2065</v>
      </c>
      <c r="S101" s="98" t="s">
        <v>1019</v>
      </c>
    </row>
    <row r="102" spans="17:19" ht="12.75">
      <c r="Q102" s="361" t="s">
        <v>246</v>
      </c>
      <c r="R102" s="98">
        <v>2066</v>
      </c>
      <c r="S102" s="98" t="s">
        <v>1020</v>
      </c>
    </row>
    <row r="103" spans="17:19" ht="12.75">
      <c r="Q103" s="361" t="s">
        <v>364</v>
      </c>
      <c r="R103" s="98">
        <v>2067</v>
      </c>
      <c r="S103" s="98" t="s">
        <v>1021</v>
      </c>
    </row>
    <row r="104" spans="17:19" ht="12.75">
      <c r="Q104" s="361" t="s">
        <v>284</v>
      </c>
      <c r="R104" s="98">
        <v>2068</v>
      </c>
      <c r="S104" s="98" t="s">
        <v>1022</v>
      </c>
    </row>
    <row r="105" spans="17:19" ht="12.75">
      <c r="Q105" s="361" t="s">
        <v>285</v>
      </c>
      <c r="R105" s="98">
        <v>2069</v>
      </c>
      <c r="S105" s="98" t="s">
        <v>1023</v>
      </c>
    </row>
    <row r="106" spans="17:19" ht="12.75">
      <c r="Q106" s="386" t="s">
        <v>1117</v>
      </c>
      <c r="R106" s="98">
        <v>2070</v>
      </c>
      <c r="S106" s="98" t="s">
        <v>1024</v>
      </c>
    </row>
    <row r="107" spans="17:19" ht="12.75">
      <c r="Q107" s="361" t="s">
        <v>1071</v>
      </c>
      <c r="R107" s="98">
        <v>2071</v>
      </c>
      <c r="S107" s="98" t="s">
        <v>1025</v>
      </c>
    </row>
    <row r="108" spans="17:19" ht="12.75">
      <c r="Q108" s="361" t="s">
        <v>286</v>
      </c>
      <c r="R108" s="98">
        <v>2072</v>
      </c>
      <c r="S108" s="98" t="s">
        <v>1026</v>
      </c>
    </row>
    <row r="109" spans="17:19" ht="12.75">
      <c r="Q109" s="361" t="s">
        <v>160</v>
      </c>
      <c r="R109" s="98">
        <v>2073</v>
      </c>
      <c r="S109" s="98" t="s">
        <v>1027</v>
      </c>
    </row>
    <row r="110" spans="17:19" ht="12.75">
      <c r="Q110" s="361" t="s">
        <v>162</v>
      </c>
      <c r="R110" s="98">
        <v>2074</v>
      </c>
      <c r="S110" s="98" t="s">
        <v>1028</v>
      </c>
    </row>
    <row r="111" spans="17:19" ht="12.75">
      <c r="Q111" s="361" t="s">
        <v>161</v>
      </c>
      <c r="R111" s="98">
        <v>2075</v>
      </c>
      <c r="S111" s="98" t="s">
        <v>1029</v>
      </c>
    </row>
    <row r="112" spans="17:19" ht="12.75">
      <c r="Q112" s="361" t="s">
        <v>175</v>
      </c>
      <c r="R112" s="98">
        <v>2076</v>
      </c>
      <c r="S112" s="98" t="s">
        <v>1030</v>
      </c>
    </row>
    <row r="113" spans="17:19" ht="12.75">
      <c r="Q113" s="172" t="s">
        <v>1125</v>
      </c>
      <c r="R113" s="98">
        <v>2077</v>
      </c>
      <c r="S113" s="98" t="s">
        <v>1031</v>
      </c>
    </row>
    <row r="114" spans="17:19" ht="12.75">
      <c r="Q114" s="361" t="s">
        <v>1114</v>
      </c>
      <c r="R114" s="98">
        <v>2078</v>
      </c>
      <c r="S114" s="98" t="s">
        <v>1032</v>
      </c>
    </row>
    <row r="115" spans="17:19" ht="12.75">
      <c r="Q115" s="361" t="s">
        <v>329</v>
      </c>
      <c r="R115" s="98">
        <v>2079</v>
      </c>
      <c r="S115" s="98" t="s">
        <v>1033</v>
      </c>
    </row>
    <row r="116" spans="17:19" ht="12.75">
      <c r="Q116" s="361" t="s">
        <v>325</v>
      </c>
      <c r="R116" s="98">
        <v>2080</v>
      </c>
      <c r="S116" s="98" t="s">
        <v>1034</v>
      </c>
    </row>
    <row r="117" spans="17:19" ht="12.75">
      <c r="Q117" s="361" t="s">
        <v>1257</v>
      </c>
      <c r="R117" s="98">
        <v>2081</v>
      </c>
      <c r="S117" s="98" t="s">
        <v>1035</v>
      </c>
    </row>
    <row r="118" spans="17:19" ht="12.75">
      <c r="Q118" s="361" t="s">
        <v>1265</v>
      </c>
      <c r="R118" s="98">
        <v>2082</v>
      </c>
      <c r="S118" s="98" t="s">
        <v>1036</v>
      </c>
    </row>
    <row r="119" spans="17:19" ht="12.75">
      <c r="Q119" s="361" t="s">
        <v>1266</v>
      </c>
      <c r="R119" s="98">
        <v>2083</v>
      </c>
      <c r="S119" s="98" t="s">
        <v>1037</v>
      </c>
    </row>
    <row r="120" spans="17:19" ht="12.75">
      <c r="Q120" s="361" t="s">
        <v>176</v>
      </c>
      <c r="R120" s="98">
        <v>2084</v>
      </c>
      <c r="S120" s="98" t="s">
        <v>1038</v>
      </c>
    </row>
    <row r="121" spans="17:19" ht="12.75">
      <c r="Q121" s="361" t="s">
        <v>167</v>
      </c>
      <c r="R121" s="98">
        <v>2085</v>
      </c>
      <c r="S121" s="98" t="s">
        <v>1039</v>
      </c>
    </row>
    <row r="122" spans="17:19" ht="12.75">
      <c r="Q122" s="361" t="s">
        <v>168</v>
      </c>
      <c r="R122" s="98">
        <v>2086</v>
      </c>
      <c r="S122" s="98" t="s">
        <v>1040</v>
      </c>
    </row>
    <row r="123" spans="17:19" ht="12.75">
      <c r="Q123" s="172" t="s">
        <v>141</v>
      </c>
      <c r="R123" s="98">
        <v>2087</v>
      </c>
      <c r="S123" s="98" t="s">
        <v>1041</v>
      </c>
    </row>
    <row r="124" spans="17:19" ht="12.75">
      <c r="Q124" s="377" t="s">
        <v>63</v>
      </c>
      <c r="R124" s="98">
        <v>2088</v>
      </c>
      <c r="S124" s="98" t="s">
        <v>1042</v>
      </c>
    </row>
    <row r="125" spans="17:19" ht="12.75">
      <c r="Q125" s="361" t="s">
        <v>206</v>
      </c>
      <c r="R125" s="98">
        <v>2089</v>
      </c>
      <c r="S125" s="98" t="s">
        <v>1043</v>
      </c>
    </row>
    <row r="126" spans="17:19" ht="12.75">
      <c r="Q126" s="377" t="s">
        <v>64</v>
      </c>
      <c r="R126" s="98">
        <v>2090</v>
      </c>
      <c r="S126" s="98" t="s">
        <v>1044</v>
      </c>
    </row>
    <row r="127" spans="17:19" ht="12.75">
      <c r="Q127" s="361" t="s">
        <v>1188</v>
      </c>
      <c r="R127" s="98">
        <v>2091</v>
      </c>
      <c r="S127" s="98" t="s">
        <v>1045</v>
      </c>
    </row>
    <row r="128" spans="17:19" ht="12.75">
      <c r="Q128" s="361" t="s">
        <v>318</v>
      </c>
      <c r="R128" s="98">
        <v>2092</v>
      </c>
      <c r="S128" s="98" t="s">
        <v>1046</v>
      </c>
    </row>
    <row r="129" spans="17:19" ht="12.75">
      <c r="Q129" s="361" t="s">
        <v>271</v>
      </c>
      <c r="R129" s="98">
        <v>2093</v>
      </c>
      <c r="S129" s="98" t="s">
        <v>1047</v>
      </c>
    </row>
    <row r="130" spans="17:19" ht="12.75">
      <c r="Q130" s="361" t="s">
        <v>197</v>
      </c>
      <c r="R130" s="98">
        <v>2094</v>
      </c>
      <c r="S130" s="98" t="s">
        <v>1048</v>
      </c>
    </row>
    <row r="131" spans="17:19" ht="12.75">
      <c r="Q131" s="361" t="s">
        <v>1161</v>
      </c>
      <c r="R131" s="98">
        <v>2095</v>
      </c>
      <c r="S131" s="98" t="s">
        <v>1049</v>
      </c>
    </row>
    <row r="132" spans="17:19" ht="12.75">
      <c r="Q132" s="361" t="s">
        <v>274</v>
      </c>
      <c r="R132" s="98">
        <v>2096</v>
      </c>
      <c r="S132" s="98" t="s">
        <v>1050</v>
      </c>
    </row>
    <row r="133" spans="17:19" ht="12.75">
      <c r="Q133" s="361" t="s">
        <v>72</v>
      </c>
      <c r="R133" s="98">
        <v>2097</v>
      </c>
      <c r="S133" s="98" t="s">
        <v>1051</v>
      </c>
    </row>
    <row r="134" spans="17:19" ht="12.75">
      <c r="Q134" s="361" t="s">
        <v>240</v>
      </c>
      <c r="R134" s="98">
        <v>2098</v>
      </c>
      <c r="S134" s="98" t="s">
        <v>1052</v>
      </c>
    </row>
    <row r="135" spans="17:19" ht="12.75">
      <c r="Q135" s="361" t="s">
        <v>1146</v>
      </c>
      <c r="R135" s="98">
        <v>2099</v>
      </c>
      <c r="S135" s="98" t="s">
        <v>1053</v>
      </c>
    </row>
    <row r="136" spans="17:18" ht="12.75">
      <c r="Q136" s="386" t="s">
        <v>234</v>
      </c>
      <c r="R136" s="172"/>
    </row>
    <row r="137" spans="17:18" ht="12.75">
      <c r="Q137" s="172" t="s">
        <v>207</v>
      </c>
      <c r="R137" s="172"/>
    </row>
    <row r="138" spans="17:18" ht="12.75">
      <c r="Q138" s="361" t="s">
        <v>365</v>
      </c>
      <c r="R138" s="172"/>
    </row>
    <row r="139" spans="17:18" ht="12.75">
      <c r="Q139" s="361" t="s">
        <v>1082</v>
      </c>
      <c r="R139" s="174"/>
    </row>
    <row r="140" spans="17:18" ht="12.75">
      <c r="Q140" s="361" t="s">
        <v>319</v>
      </c>
      <c r="R140" s="172"/>
    </row>
    <row r="141" spans="17:18" ht="12.75">
      <c r="Q141" s="361" t="s">
        <v>200</v>
      </c>
      <c r="R141" s="174"/>
    </row>
    <row r="142" spans="17:18" ht="12.75">
      <c r="Q142" s="361" t="s">
        <v>142</v>
      </c>
      <c r="R142" s="172"/>
    </row>
    <row r="143" spans="17:18" ht="12.75">
      <c r="Q143" s="361" t="s">
        <v>356</v>
      </c>
      <c r="R143" s="172"/>
    </row>
    <row r="144" spans="17:18" ht="12.75">
      <c r="Q144" s="361" t="s">
        <v>1126</v>
      </c>
      <c r="R144" s="172"/>
    </row>
    <row r="145" spans="17:18" ht="12.75">
      <c r="Q145" s="172" t="s">
        <v>163</v>
      </c>
      <c r="R145" s="176"/>
    </row>
    <row r="146" spans="17:18" ht="12.75">
      <c r="Q146" s="361" t="s">
        <v>208</v>
      </c>
      <c r="R146" s="172"/>
    </row>
    <row r="147" spans="17:18" ht="12.75">
      <c r="Q147" s="361" t="s">
        <v>1147</v>
      </c>
      <c r="R147" s="172"/>
    </row>
    <row r="148" spans="17:18" ht="12.75">
      <c r="Q148" s="361" t="s">
        <v>369</v>
      </c>
      <c r="R148" s="172"/>
    </row>
    <row r="149" spans="17:18" ht="12.75">
      <c r="Q149" s="361" t="s">
        <v>1189</v>
      </c>
      <c r="R149" s="177"/>
    </row>
    <row r="150" spans="17:18" ht="12.75">
      <c r="Q150" s="361" t="s">
        <v>1070</v>
      </c>
      <c r="R150" s="172"/>
    </row>
    <row r="151" spans="17:18" ht="12.75">
      <c r="Q151" s="361" t="s">
        <v>156</v>
      </c>
      <c r="R151" s="172"/>
    </row>
    <row r="152" spans="17:18" ht="12.75">
      <c r="Q152" s="361" t="s">
        <v>143</v>
      </c>
      <c r="R152" s="172"/>
    </row>
    <row r="153" spans="17:18" ht="12.75">
      <c r="Q153" s="361" t="s">
        <v>1058</v>
      </c>
      <c r="R153" s="172"/>
    </row>
    <row r="154" spans="17:18" ht="12.75">
      <c r="Q154" s="172" t="s">
        <v>151</v>
      </c>
      <c r="R154" s="182"/>
    </row>
    <row r="155" spans="17:18" ht="12.75">
      <c r="Q155" s="172" t="s">
        <v>1127</v>
      </c>
      <c r="R155" s="172"/>
    </row>
    <row r="156" spans="17:18" ht="12.75">
      <c r="Q156" s="172" t="s">
        <v>1080</v>
      </c>
      <c r="R156" s="172"/>
    </row>
    <row r="157" spans="17:18" ht="12.75">
      <c r="Q157" s="172" t="s">
        <v>201</v>
      </c>
      <c r="R157" s="172"/>
    </row>
    <row r="158" spans="17:18" ht="12.75">
      <c r="Q158" s="361" t="s">
        <v>209</v>
      </c>
      <c r="R158" s="172"/>
    </row>
    <row r="159" spans="17:18" ht="12.75">
      <c r="Q159" s="361" t="s">
        <v>1151</v>
      </c>
      <c r="R159" s="172"/>
    </row>
    <row r="160" spans="17:18" ht="12.75">
      <c r="Q160" s="361" t="s">
        <v>357</v>
      </c>
      <c r="R160" s="172"/>
    </row>
    <row r="161" spans="17:18" ht="12.75">
      <c r="Q161" s="361" t="s">
        <v>342</v>
      </c>
      <c r="R161" s="172"/>
    </row>
    <row r="162" spans="17:18" ht="12.75">
      <c r="Q162" s="172" t="s">
        <v>202</v>
      </c>
      <c r="R162" s="172"/>
    </row>
    <row r="163" spans="17:18" ht="12.75">
      <c r="Q163" s="180" t="s">
        <v>231</v>
      </c>
      <c r="R163" s="172"/>
    </row>
    <row r="164" spans="17:18" ht="12.75">
      <c r="Q164" s="386" t="s">
        <v>1271</v>
      </c>
      <c r="R164" s="172"/>
    </row>
    <row r="165" spans="17:18" ht="12.75">
      <c r="Q165" s="386" t="s">
        <v>217</v>
      </c>
      <c r="R165" s="172"/>
    </row>
    <row r="166" spans="17:18" ht="12.75">
      <c r="Q166" s="361" t="s">
        <v>1111</v>
      </c>
      <c r="R166" s="172"/>
    </row>
    <row r="167" spans="17:18" ht="12.75">
      <c r="Q167" s="361" t="s">
        <v>1112</v>
      </c>
      <c r="R167" s="172"/>
    </row>
    <row r="168" spans="17:18" ht="12.75">
      <c r="Q168" s="361" t="s">
        <v>275</v>
      </c>
      <c r="R168" s="172"/>
    </row>
    <row r="169" spans="17:18" ht="12.75">
      <c r="Q169" s="386" t="s">
        <v>218</v>
      </c>
      <c r="R169" s="172"/>
    </row>
    <row r="170" spans="17:18" ht="12.75">
      <c r="Q170" s="361" t="s">
        <v>236</v>
      </c>
      <c r="R170" s="172"/>
    </row>
    <row r="171" spans="17:18" ht="12.75">
      <c r="Q171" s="361" t="s">
        <v>289</v>
      </c>
      <c r="R171" s="172"/>
    </row>
    <row r="172" spans="17:18" ht="12.75">
      <c r="Q172" s="361" t="s">
        <v>288</v>
      </c>
      <c r="R172" s="172"/>
    </row>
    <row r="173" spans="17:18" ht="12.75">
      <c r="Q173" s="361" t="s">
        <v>343</v>
      </c>
      <c r="R173" s="172"/>
    </row>
    <row r="174" spans="17:18" ht="12.75">
      <c r="Q174" s="361" t="s">
        <v>177</v>
      </c>
      <c r="R174" s="172"/>
    </row>
    <row r="175" spans="17:18" ht="12.75">
      <c r="Q175" s="361" t="s">
        <v>178</v>
      </c>
      <c r="R175" s="172"/>
    </row>
    <row r="176" spans="17:18" ht="12.75">
      <c r="Q176" s="172" t="s">
        <v>1240</v>
      </c>
      <c r="R176" s="172"/>
    </row>
    <row r="177" spans="17:18" ht="12.75">
      <c r="Q177" s="361" t="s">
        <v>1227</v>
      </c>
      <c r="R177" s="172"/>
    </row>
    <row r="178" spans="17:18" ht="12.75">
      <c r="Q178" s="361" t="s">
        <v>1148</v>
      </c>
      <c r="R178" s="172"/>
    </row>
    <row r="179" spans="17:18" ht="12.75">
      <c r="Q179" s="172" t="s">
        <v>259</v>
      </c>
      <c r="R179" s="172"/>
    </row>
    <row r="180" spans="17:18" ht="12.75">
      <c r="Q180" s="172" t="s">
        <v>1115</v>
      </c>
      <c r="R180" s="172"/>
    </row>
    <row r="181" spans="17:18" ht="12.75">
      <c r="Q181" s="361" t="s">
        <v>1128</v>
      </c>
      <c r="R181" s="172"/>
    </row>
    <row r="182" spans="17:18" ht="12.75">
      <c r="Q182" s="361" t="s">
        <v>1109</v>
      </c>
      <c r="R182" s="172"/>
    </row>
    <row r="183" spans="17:18" ht="12.75">
      <c r="Q183" s="361" t="s">
        <v>1162</v>
      </c>
      <c r="R183" s="172"/>
    </row>
    <row r="184" spans="17:18" ht="12.75">
      <c r="Q184" s="172" t="s">
        <v>1136</v>
      </c>
      <c r="R184" s="172"/>
    </row>
    <row r="185" spans="17:18" ht="12.75">
      <c r="Q185" s="172" t="s">
        <v>1241</v>
      </c>
      <c r="R185" s="177"/>
    </row>
    <row r="186" spans="17:18" ht="12.75">
      <c r="Q186" s="361" t="s">
        <v>304</v>
      </c>
      <c r="R186" s="181"/>
    </row>
    <row r="187" spans="17:18" ht="12.75">
      <c r="Q187" s="361" t="s">
        <v>1129</v>
      </c>
      <c r="R187" s="180"/>
    </row>
    <row r="188" spans="17:18" ht="12.75">
      <c r="Q188" s="361" t="s">
        <v>1163</v>
      </c>
      <c r="R188" s="180"/>
    </row>
    <row r="189" spans="17:18" ht="12.75">
      <c r="Q189" s="361" t="s">
        <v>1130</v>
      </c>
      <c r="R189" s="172"/>
    </row>
    <row r="190" spans="17:18" ht="12.75">
      <c r="Q190" s="361" t="s">
        <v>179</v>
      </c>
      <c r="R190" s="172"/>
    </row>
    <row r="191" spans="17:18" ht="12.75">
      <c r="Q191" s="172" t="s">
        <v>327</v>
      </c>
      <c r="R191" s="172"/>
    </row>
    <row r="192" spans="17:18" ht="12.75">
      <c r="Q192" s="361" t="s">
        <v>210</v>
      </c>
      <c r="R192" s="180"/>
    </row>
    <row r="193" spans="17:18" ht="12.75">
      <c r="Q193" s="361" t="s">
        <v>75</v>
      </c>
      <c r="R193" s="172"/>
    </row>
    <row r="194" spans="17:18" ht="12.75">
      <c r="Q194" s="361" t="s">
        <v>76</v>
      </c>
      <c r="R194" s="172"/>
    </row>
    <row r="195" spans="17:18" ht="12.75">
      <c r="Q195" s="361" t="s">
        <v>77</v>
      </c>
      <c r="R195" s="172"/>
    </row>
    <row r="196" spans="17:18" ht="12.75">
      <c r="Q196" s="172" t="s">
        <v>78</v>
      </c>
      <c r="R196" s="172"/>
    </row>
    <row r="197" spans="17:18" ht="12.75">
      <c r="Q197" s="172" t="s">
        <v>79</v>
      </c>
      <c r="R197" s="172"/>
    </row>
    <row r="198" spans="17:18" ht="12.75">
      <c r="Q198" s="172" t="s">
        <v>80</v>
      </c>
      <c r="R198" s="172"/>
    </row>
    <row r="199" spans="17:18" ht="12.75">
      <c r="Q199" s="361" t="s">
        <v>81</v>
      </c>
      <c r="R199" s="172"/>
    </row>
    <row r="200" spans="17:18" ht="12.75">
      <c r="Q200" s="361" t="s">
        <v>1097</v>
      </c>
      <c r="R200" s="172"/>
    </row>
    <row r="201" spans="17:18" ht="12.75">
      <c r="Q201" s="361" t="s">
        <v>82</v>
      </c>
      <c r="R201" s="172"/>
    </row>
    <row r="202" spans="17:18" ht="12.75">
      <c r="Q202" s="361" t="s">
        <v>83</v>
      </c>
      <c r="R202" s="172"/>
    </row>
    <row r="203" spans="17:18" ht="12.75">
      <c r="Q203" s="361" t="s">
        <v>1098</v>
      </c>
      <c r="R203" s="177"/>
    </row>
    <row r="204" spans="17:18" ht="12.75">
      <c r="Q204" s="361" t="s">
        <v>84</v>
      </c>
      <c r="R204" s="172"/>
    </row>
    <row r="205" spans="17:18" ht="12.75">
      <c r="Q205" s="172" t="s">
        <v>85</v>
      </c>
      <c r="R205" s="172"/>
    </row>
    <row r="206" spans="17:18" ht="12.75">
      <c r="Q206" s="361" t="s">
        <v>1099</v>
      </c>
      <c r="R206" s="172"/>
    </row>
    <row r="207" spans="17:18" ht="12.75">
      <c r="Q207" s="172" t="s">
        <v>86</v>
      </c>
      <c r="R207" s="172"/>
    </row>
    <row r="208" spans="17:18" ht="12.75">
      <c r="Q208" s="172" t="s">
        <v>1100</v>
      </c>
      <c r="R208" s="172"/>
    </row>
    <row r="209" spans="17:18" ht="12.75">
      <c r="Q209" s="172" t="s">
        <v>87</v>
      </c>
      <c r="R209" s="172"/>
    </row>
    <row r="210" spans="17:18" ht="12.75">
      <c r="Q210" s="361" t="s">
        <v>88</v>
      </c>
      <c r="R210" s="172"/>
    </row>
    <row r="211" spans="17:18" ht="12.75">
      <c r="Q211" s="361" t="s">
        <v>89</v>
      </c>
      <c r="R211" s="172"/>
    </row>
    <row r="212" spans="17:18" ht="12.75">
      <c r="Q212" s="172" t="s">
        <v>1101</v>
      </c>
      <c r="R212" s="172"/>
    </row>
    <row r="213" spans="17:18" ht="12.75">
      <c r="Q213" s="172" t="s">
        <v>1102</v>
      </c>
      <c r="R213" s="177"/>
    </row>
    <row r="214" spans="17:18" ht="12.75">
      <c r="Q214" s="382" t="s">
        <v>121</v>
      </c>
      <c r="R214" s="172"/>
    </row>
    <row r="215" spans="17:18" ht="12.75">
      <c r="Q215" s="361" t="s">
        <v>90</v>
      </c>
      <c r="R215" s="172"/>
    </row>
    <row r="216" spans="17:18" ht="12.75">
      <c r="Q216" s="361" t="s">
        <v>91</v>
      </c>
      <c r="R216" s="172"/>
    </row>
    <row r="217" spans="17:18" ht="12.75">
      <c r="Q217" s="361" t="s">
        <v>92</v>
      </c>
      <c r="R217" s="176"/>
    </row>
    <row r="218" spans="17:18" ht="12.75">
      <c r="Q218" s="361" t="s">
        <v>93</v>
      </c>
      <c r="R218" s="172"/>
    </row>
    <row r="219" spans="17:18" ht="12.75">
      <c r="Q219" s="172" t="s">
        <v>94</v>
      </c>
      <c r="R219" s="172"/>
    </row>
    <row r="220" spans="17:18" ht="12.75">
      <c r="Q220" s="460" t="s">
        <v>1079</v>
      </c>
      <c r="R220" s="172"/>
    </row>
    <row r="221" spans="17:18" ht="12.75">
      <c r="Q221" s="360" t="s">
        <v>1078</v>
      </c>
      <c r="R221" s="172"/>
    </row>
    <row r="222" spans="17:18" ht="12.75">
      <c r="Q222" s="361" t="s">
        <v>95</v>
      </c>
      <c r="R222" s="172"/>
    </row>
    <row r="223" spans="17:18" ht="12.75">
      <c r="Q223" s="361" t="s">
        <v>96</v>
      </c>
      <c r="R223" s="172"/>
    </row>
    <row r="224" spans="17:18" ht="12.75">
      <c r="Q224" s="361" t="s">
        <v>98</v>
      </c>
      <c r="R224" s="172"/>
    </row>
    <row r="225" spans="17:18" ht="12.75">
      <c r="Q225" s="361" t="s">
        <v>97</v>
      </c>
      <c r="R225" s="172"/>
    </row>
    <row r="226" spans="17:18" ht="12.75">
      <c r="Q226" s="361" t="s">
        <v>1103</v>
      </c>
      <c r="R226" s="172"/>
    </row>
    <row r="227" spans="17:18" ht="12.75">
      <c r="Q227" s="172" t="s">
        <v>99</v>
      </c>
      <c r="R227" s="172"/>
    </row>
    <row r="228" spans="17:18" ht="12.75">
      <c r="Q228" s="172" t="s">
        <v>100</v>
      </c>
      <c r="R228" s="172"/>
    </row>
    <row r="229" spans="17:18" ht="12.75">
      <c r="Q229" s="361" t="s">
        <v>101</v>
      </c>
      <c r="R229" s="172"/>
    </row>
    <row r="230" spans="17:18" ht="12.75">
      <c r="Q230" s="361" t="s">
        <v>102</v>
      </c>
      <c r="R230" s="172"/>
    </row>
    <row r="231" spans="17:18" ht="12.75">
      <c r="Q231" s="361" t="s">
        <v>103</v>
      </c>
      <c r="R231" s="172"/>
    </row>
    <row r="232" spans="17:18" ht="12.75">
      <c r="Q232" s="361" t="s">
        <v>104</v>
      </c>
      <c r="R232" s="172"/>
    </row>
    <row r="233" spans="17:18" ht="12.75">
      <c r="Q233" s="172" t="s">
        <v>105</v>
      </c>
      <c r="R233" s="172"/>
    </row>
    <row r="234" spans="17:18" ht="12.75">
      <c r="Q234" s="172" t="s">
        <v>106</v>
      </c>
      <c r="R234" s="172"/>
    </row>
    <row r="235" spans="17:18" ht="12.75">
      <c r="Q235" s="361" t="s">
        <v>107</v>
      </c>
      <c r="R235" s="172"/>
    </row>
    <row r="236" spans="17:18" ht="12.75">
      <c r="Q236" s="361" t="s">
        <v>108</v>
      </c>
      <c r="R236" s="172"/>
    </row>
    <row r="237" spans="17:18" ht="12.75">
      <c r="Q237" s="361" t="s">
        <v>109</v>
      </c>
      <c r="R237" s="172"/>
    </row>
    <row r="238" spans="17:18" ht="12.75">
      <c r="Q238" s="172" t="s">
        <v>110</v>
      </c>
      <c r="R238" s="172"/>
    </row>
    <row r="239" spans="17:18" ht="12.75">
      <c r="Q239" s="172" t="s">
        <v>1105</v>
      </c>
      <c r="R239" s="172"/>
    </row>
    <row r="240" spans="17:18" ht="12.75">
      <c r="Q240" s="361" t="s">
        <v>1106</v>
      </c>
      <c r="R240" s="175"/>
    </row>
    <row r="241" spans="17:18" ht="12.75">
      <c r="Q241" s="361" t="s">
        <v>1107</v>
      </c>
      <c r="R241" s="172"/>
    </row>
    <row r="242" spans="17:18" ht="12.75">
      <c r="Q242" s="361" t="s">
        <v>111</v>
      </c>
      <c r="R242" s="172"/>
    </row>
    <row r="243" spans="17:18" ht="12.75">
      <c r="Q243" s="361" t="s">
        <v>112</v>
      </c>
      <c r="R243" s="172"/>
    </row>
    <row r="244" spans="17:18" ht="12.75">
      <c r="Q244" s="361" t="s">
        <v>113</v>
      </c>
      <c r="R244" s="172"/>
    </row>
    <row r="245" spans="17:18" ht="12.75">
      <c r="Q245" s="361" t="s">
        <v>114</v>
      </c>
      <c r="R245" s="172"/>
    </row>
    <row r="246" spans="17:18" ht="12.75">
      <c r="Q246" s="361" t="s">
        <v>116</v>
      </c>
      <c r="R246" s="175"/>
    </row>
    <row r="247" spans="17:18" ht="12.75">
      <c r="Q247" s="361" t="s">
        <v>117</v>
      </c>
      <c r="R247" s="172"/>
    </row>
    <row r="248" spans="17:18" ht="12.75">
      <c r="Q248" s="361" t="s">
        <v>115</v>
      </c>
      <c r="R248" s="172"/>
    </row>
    <row r="249" spans="17:18" ht="12.75">
      <c r="Q249" s="361" t="s">
        <v>118</v>
      </c>
      <c r="R249" s="172"/>
    </row>
    <row r="250" spans="17:18" ht="12.75">
      <c r="Q250" s="361" t="s">
        <v>119</v>
      </c>
      <c r="R250" s="175"/>
    </row>
    <row r="251" spans="17:18" ht="12.75">
      <c r="Q251" s="361" t="s">
        <v>120</v>
      </c>
      <c r="R251" s="172"/>
    </row>
    <row r="252" spans="17:18" ht="12.75">
      <c r="Q252" s="361" t="s">
        <v>1104</v>
      </c>
      <c r="R252" s="172"/>
    </row>
    <row r="253" spans="17:18" ht="12.75">
      <c r="Q253" s="386" t="s">
        <v>1176</v>
      </c>
      <c r="R253" s="172"/>
    </row>
    <row r="254" spans="17:18" ht="12.75">
      <c r="Q254" s="361" t="s">
        <v>215</v>
      </c>
      <c r="R254" s="172"/>
    </row>
    <row r="255" spans="17:18" ht="12.75">
      <c r="Q255" s="386" t="s">
        <v>233</v>
      </c>
      <c r="R255" s="172"/>
    </row>
    <row r="256" spans="17:18" ht="12.75">
      <c r="Q256" s="361" t="s">
        <v>1150</v>
      </c>
      <c r="R256" s="172"/>
    </row>
    <row r="257" spans="17:18" ht="12.75">
      <c r="Q257" s="386" t="s">
        <v>1190</v>
      </c>
      <c r="R257" s="172"/>
    </row>
    <row r="258" spans="17:18" ht="12.75">
      <c r="Q258" s="361" t="s">
        <v>370</v>
      </c>
      <c r="R258" s="172"/>
    </row>
    <row r="259" spans="17:18" ht="12.75">
      <c r="Q259" s="361" t="s">
        <v>247</v>
      </c>
      <c r="R259" s="172"/>
    </row>
    <row r="260" spans="17:18" ht="12.75">
      <c r="Q260" s="361" t="s">
        <v>344</v>
      </c>
      <c r="R260" s="172"/>
    </row>
    <row r="261" spans="17:18" ht="12.75">
      <c r="Q261" s="361" t="s">
        <v>340</v>
      </c>
      <c r="R261" s="172"/>
    </row>
    <row r="262" spans="17:18" ht="12.75">
      <c r="Q262" s="386" t="s">
        <v>232</v>
      </c>
      <c r="R262" s="172"/>
    </row>
    <row r="263" spans="17:18" ht="12.75">
      <c r="Q263" s="386" t="s">
        <v>219</v>
      </c>
      <c r="R263" s="172"/>
    </row>
    <row r="264" spans="17:18" ht="12.75">
      <c r="Q264" s="386" t="s">
        <v>220</v>
      </c>
      <c r="R264" s="172"/>
    </row>
    <row r="265" spans="17:18" ht="12.75">
      <c r="Q265" s="361" t="s">
        <v>157</v>
      </c>
      <c r="R265" s="172"/>
    </row>
    <row r="266" spans="17:18" ht="12.75">
      <c r="Q266" s="361" t="s">
        <v>1177</v>
      </c>
      <c r="R266" s="172"/>
    </row>
    <row r="267" spans="17:18" ht="12.75">
      <c r="Q267" s="361" t="s">
        <v>243</v>
      </c>
      <c r="R267" s="172"/>
    </row>
    <row r="268" spans="17:18" ht="12.75">
      <c r="Q268" s="361" t="s">
        <v>237</v>
      </c>
      <c r="R268" s="172"/>
    </row>
    <row r="269" spans="17:18" ht="12.75">
      <c r="Q269" s="361" t="s">
        <v>326</v>
      </c>
      <c r="R269" s="172"/>
    </row>
    <row r="270" spans="17:18" ht="12.75">
      <c r="Q270" s="361" t="s">
        <v>321</v>
      </c>
      <c r="R270" s="172"/>
    </row>
    <row r="271" spans="17:18" ht="12.75">
      <c r="Q271" s="361" t="s">
        <v>73</v>
      </c>
      <c r="R271" s="172"/>
    </row>
    <row r="272" spans="17:18" ht="12.75">
      <c r="Q272" s="361" t="s">
        <v>244</v>
      </c>
      <c r="R272" s="175"/>
    </row>
    <row r="273" spans="17:18" ht="12.75">
      <c r="Q273" s="361" t="s">
        <v>152</v>
      </c>
      <c r="R273" s="175"/>
    </row>
    <row r="274" spans="17:18" ht="12.75">
      <c r="Q274" s="361" t="s">
        <v>1059</v>
      </c>
      <c r="R274" s="172"/>
    </row>
    <row r="275" spans="17:18" ht="12.75">
      <c r="Q275" s="172" t="s">
        <v>1063</v>
      </c>
      <c r="R275" s="172"/>
    </row>
    <row r="276" spans="17:18" ht="12.75">
      <c r="Q276" s="172" t="s">
        <v>248</v>
      </c>
      <c r="R276" s="172"/>
    </row>
    <row r="277" spans="17:18" ht="12.75">
      <c r="Q277" s="361" t="s">
        <v>249</v>
      </c>
      <c r="R277" s="172"/>
    </row>
    <row r="278" spans="17:18" ht="12.75">
      <c r="Q278" s="361" t="s">
        <v>260</v>
      </c>
      <c r="R278" s="172"/>
    </row>
    <row r="279" spans="17:18" ht="12.75">
      <c r="Q279" s="361" t="s">
        <v>349</v>
      </c>
      <c r="R279" s="180"/>
    </row>
    <row r="280" spans="17:18" ht="12.75">
      <c r="Q280" s="361" t="s">
        <v>276</v>
      </c>
      <c r="R280" s="172"/>
    </row>
    <row r="281" spans="17:18" ht="12.75">
      <c r="Q281" s="172" t="s">
        <v>328</v>
      </c>
      <c r="R281" s="182"/>
    </row>
    <row r="282" spans="17:18" ht="12.75">
      <c r="Q282" s="172" t="s">
        <v>1087</v>
      </c>
      <c r="R282" s="172"/>
    </row>
    <row r="283" spans="17:18" ht="12.75">
      <c r="Q283" s="361" t="s">
        <v>1179</v>
      </c>
      <c r="R283" s="180"/>
    </row>
    <row r="284" spans="17:18" ht="12.75">
      <c r="Q284" s="361" t="s">
        <v>272</v>
      </c>
      <c r="R284" s="172"/>
    </row>
    <row r="285" spans="17:18" ht="12.75">
      <c r="Q285" s="361" t="s">
        <v>180</v>
      </c>
      <c r="R285" s="172"/>
    </row>
    <row r="286" spans="17:18" ht="12.75">
      <c r="Q286" s="361" t="s">
        <v>250</v>
      </c>
      <c r="R286" s="172"/>
    </row>
    <row r="287" spans="17:18" ht="12.75">
      <c r="Q287" s="172" t="s">
        <v>291</v>
      </c>
      <c r="R287" s="172"/>
    </row>
    <row r="288" spans="17:18" ht="12.75">
      <c r="Q288" s="172" t="s">
        <v>181</v>
      </c>
      <c r="R288" s="181"/>
    </row>
    <row r="289" spans="17:18" ht="12.75">
      <c r="Q289" s="361" t="s">
        <v>137</v>
      </c>
      <c r="R289" s="180"/>
    </row>
    <row r="290" spans="17:18" ht="12.75">
      <c r="Q290" s="361" t="s">
        <v>261</v>
      </c>
      <c r="R290" s="180"/>
    </row>
    <row r="291" spans="17:18" ht="12.75">
      <c r="Q291" s="361" t="s">
        <v>1275</v>
      </c>
      <c r="R291" s="183"/>
    </row>
    <row r="292" spans="17:18" ht="12.75">
      <c r="Q292" s="172" t="s">
        <v>1191</v>
      </c>
      <c r="R292" s="172"/>
    </row>
    <row r="293" spans="17:18" ht="12.75">
      <c r="Q293" s="172" t="s">
        <v>350</v>
      </c>
      <c r="R293" s="172"/>
    </row>
    <row r="294" spans="17:18" ht="12.75">
      <c r="Q294" s="361" t="s">
        <v>277</v>
      </c>
      <c r="R294" s="176"/>
    </row>
    <row r="295" spans="17:18" ht="12.75">
      <c r="Q295" s="361" t="s">
        <v>1060</v>
      </c>
      <c r="R295" s="172"/>
    </row>
    <row r="296" spans="17:18" ht="12.75">
      <c r="Q296" s="361" t="s">
        <v>1061</v>
      </c>
      <c r="R296" s="177"/>
    </row>
    <row r="297" spans="17:18" ht="12.75">
      <c r="Q297" s="172" t="s">
        <v>353</v>
      </c>
      <c r="R297" s="172"/>
    </row>
    <row r="298" spans="17:18" ht="12.75">
      <c r="Q298" s="172" t="s">
        <v>203</v>
      </c>
      <c r="R298" s="177"/>
    </row>
    <row r="299" spans="17:18" ht="12.75">
      <c r="Q299" s="386" t="s">
        <v>1231</v>
      </c>
      <c r="R299" s="172"/>
    </row>
    <row r="300" spans="17:18" ht="12.75">
      <c r="Q300" s="361" t="s">
        <v>1155</v>
      </c>
      <c r="R300" s="172"/>
    </row>
    <row r="301" spans="17:18" ht="12.75">
      <c r="Q301" s="361" t="s">
        <v>1152</v>
      </c>
      <c r="R301" s="172"/>
    </row>
    <row r="302" spans="17:18" ht="12.75">
      <c r="Q302" s="361" t="s">
        <v>292</v>
      </c>
      <c r="R302" s="172"/>
    </row>
    <row r="303" spans="17:18" ht="12.75">
      <c r="Q303" s="361" t="s">
        <v>211</v>
      </c>
      <c r="R303" s="172"/>
    </row>
    <row r="304" spans="17:18" ht="12.75">
      <c r="Q304" s="377" t="s">
        <v>65</v>
      </c>
      <c r="R304" s="172"/>
    </row>
    <row r="305" spans="17:18" ht="12.75">
      <c r="Q305" s="361" t="s">
        <v>1164</v>
      </c>
      <c r="R305" s="172"/>
    </row>
    <row r="306" spans="17:18" ht="12.75">
      <c r="Q306" s="361" t="s">
        <v>138</v>
      </c>
      <c r="R306" s="172"/>
    </row>
    <row r="307" spans="17:18" ht="12.75">
      <c r="Q307" s="172" t="s">
        <v>1269</v>
      </c>
      <c r="R307" s="172"/>
    </row>
    <row r="308" spans="17:18" ht="12.75">
      <c r="Q308" s="172" t="s">
        <v>1192</v>
      </c>
      <c r="R308" s="172"/>
    </row>
    <row r="309" spans="17:18" ht="12.75">
      <c r="Q309" s="361" t="s">
        <v>1165</v>
      </c>
      <c r="R309" s="172"/>
    </row>
    <row r="310" spans="17:18" ht="12.75">
      <c r="Q310" s="361" t="s">
        <v>1245</v>
      </c>
      <c r="R310" s="172"/>
    </row>
    <row r="311" spans="17:18" ht="12.75">
      <c r="Q311" s="386" t="s">
        <v>221</v>
      </c>
      <c r="R311" s="172"/>
    </row>
    <row r="312" spans="17:18" ht="12.75">
      <c r="Q312" s="386" t="s">
        <v>1193</v>
      </c>
      <c r="R312" s="172"/>
    </row>
    <row r="313" spans="17:18" ht="12.75">
      <c r="Q313" s="172" t="s">
        <v>278</v>
      </c>
      <c r="R313" s="172"/>
    </row>
    <row r="314" spans="17:18" ht="12.75">
      <c r="Q314" s="361" t="s">
        <v>122</v>
      </c>
      <c r="R314" s="172"/>
    </row>
    <row r="315" spans="17:18" ht="12.75">
      <c r="Q315" s="361" t="s">
        <v>1108</v>
      </c>
      <c r="R315" s="172"/>
    </row>
    <row r="316" spans="17:18" ht="12.75">
      <c r="Q316" s="361" t="s">
        <v>123</v>
      </c>
      <c r="R316" s="172"/>
    </row>
    <row r="317" spans="17:18" ht="12.75">
      <c r="Q317" s="172" t="s">
        <v>124</v>
      </c>
      <c r="R317" s="172"/>
    </row>
    <row r="318" spans="17:18" ht="12.75">
      <c r="Q318" s="361" t="s">
        <v>125</v>
      </c>
      <c r="R318" s="172"/>
    </row>
    <row r="319" spans="17:18" ht="12.75">
      <c r="Q319" s="361" t="s">
        <v>126</v>
      </c>
      <c r="R319" s="172"/>
    </row>
    <row r="320" spans="17:18" ht="12.75">
      <c r="Q320" s="172" t="s">
        <v>127</v>
      </c>
      <c r="R320" s="172"/>
    </row>
    <row r="321" spans="17:18" ht="12.75">
      <c r="Q321" s="361" t="s">
        <v>1199</v>
      </c>
      <c r="R321" s="172"/>
    </row>
    <row r="322" spans="17:18" ht="12.75">
      <c r="Q322" s="361" t="s">
        <v>128</v>
      </c>
      <c r="R322" s="172"/>
    </row>
    <row r="323" spans="17:18" ht="12.75">
      <c r="Q323" s="361" t="s">
        <v>129</v>
      </c>
      <c r="R323" s="179"/>
    </row>
    <row r="324" spans="17:18" ht="12.75">
      <c r="Q324" s="172" t="s">
        <v>159</v>
      </c>
      <c r="R324" s="172"/>
    </row>
    <row r="325" spans="17:18" ht="12.75">
      <c r="Q325" s="172" t="s">
        <v>1110</v>
      </c>
      <c r="R325" s="172"/>
    </row>
    <row r="326" spans="17:18" ht="12.75">
      <c r="Q326" s="386" t="s">
        <v>222</v>
      </c>
      <c r="R326" s="180"/>
    </row>
    <row r="327" spans="17:18" ht="12.75">
      <c r="Q327" s="172" t="s">
        <v>1156</v>
      </c>
      <c r="R327" s="172"/>
    </row>
    <row r="328" spans="17:18" ht="12.75">
      <c r="Q328" s="172" t="s">
        <v>345</v>
      </c>
      <c r="R328" s="172"/>
    </row>
    <row r="329" spans="17:18" ht="12.75">
      <c r="Q329" s="361" t="s">
        <v>1178</v>
      </c>
      <c r="R329" s="172"/>
    </row>
    <row r="330" spans="17:18" ht="12.75">
      <c r="Q330" s="361" t="s">
        <v>1137</v>
      </c>
      <c r="R330" s="172"/>
    </row>
    <row r="331" spans="17:18" ht="12.75">
      <c r="Q331" s="172" t="s">
        <v>312</v>
      </c>
      <c r="R331" s="174"/>
    </row>
    <row r="332" spans="17:18" ht="12.75">
      <c r="Q332" s="172" t="s">
        <v>1175</v>
      </c>
      <c r="R332" s="172"/>
    </row>
    <row r="333" spans="17:18" ht="12.75">
      <c r="Q333" s="172" t="s">
        <v>262</v>
      </c>
      <c r="R333" s="172"/>
    </row>
    <row r="334" spans="17:18" ht="12.75">
      <c r="Q334" s="386" t="s">
        <v>1119</v>
      </c>
      <c r="R334" s="176"/>
    </row>
    <row r="335" spans="17:18" ht="12.75">
      <c r="Q335" s="386" t="s">
        <v>1118</v>
      </c>
      <c r="R335" s="177"/>
    </row>
    <row r="336" spans="17:18" ht="12.75">
      <c r="Q336" s="386" t="s">
        <v>1194</v>
      </c>
      <c r="R336" s="172"/>
    </row>
    <row r="337" spans="17:18" ht="12.75">
      <c r="Q337" s="386" t="s">
        <v>223</v>
      </c>
      <c r="R337" s="172"/>
    </row>
    <row r="338" spans="17:18" ht="12.75">
      <c r="Q338" s="361" t="s">
        <v>313</v>
      </c>
      <c r="R338" s="180"/>
    </row>
    <row r="339" spans="17:18" ht="12.75">
      <c r="Q339" s="361" t="s">
        <v>314</v>
      </c>
      <c r="R339" s="172"/>
    </row>
    <row r="340" spans="17:18" ht="12.75">
      <c r="Q340" s="361" t="s">
        <v>263</v>
      </c>
      <c r="R340" s="180"/>
    </row>
    <row r="341" spans="17:18" ht="12.75">
      <c r="Q341" s="361" t="s">
        <v>182</v>
      </c>
      <c r="R341" s="172"/>
    </row>
    <row r="342" spans="17:18" ht="12.75">
      <c r="Q342" s="361" t="s">
        <v>183</v>
      </c>
      <c r="R342" s="172"/>
    </row>
    <row r="343" spans="17:18" ht="12.75">
      <c r="Q343" s="361" t="s">
        <v>184</v>
      </c>
      <c r="R343" s="172"/>
    </row>
    <row r="344" spans="17:18" ht="12.75">
      <c r="Q344" s="361" t="s">
        <v>185</v>
      </c>
      <c r="R344" s="172"/>
    </row>
    <row r="345" spans="17:18" ht="12.75">
      <c r="Q345" s="361" t="s">
        <v>251</v>
      </c>
      <c r="R345" s="172"/>
    </row>
    <row r="346" spans="17:18" ht="12.75">
      <c r="Q346" s="361" t="s">
        <v>320</v>
      </c>
      <c r="R346" s="172"/>
    </row>
    <row r="347" spans="17:18" ht="12.75">
      <c r="Q347" s="361" t="s">
        <v>1153</v>
      </c>
      <c r="R347" s="172"/>
    </row>
    <row r="348" spans="17:18" ht="12.75">
      <c r="Q348" s="361" t="s">
        <v>1138</v>
      </c>
      <c r="R348" s="172"/>
    </row>
    <row r="349" spans="17:18" ht="12.75">
      <c r="Q349" s="361" t="s">
        <v>252</v>
      </c>
      <c r="R349" s="172"/>
    </row>
    <row r="350" spans="17:18" ht="12.75">
      <c r="Q350" s="361" t="s">
        <v>253</v>
      </c>
      <c r="R350" s="172"/>
    </row>
    <row r="351" spans="17:18" ht="12.75">
      <c r="Q351" s="361" t="s">
        <v>1282</v>
      </c>
      <c r="R351" s="172"/>
    </row>
    <row r="352" spans="17:18" ht="12.75">
      <c r="Q352" s="361" t="s">
        <v>293</v>
      </c>
      <c r="R352" s="172"/>
    </row>
    <row r="353" spans="17:18" ht="12.75">
      <c r="Q353" s="361" t="s">
        <v>294</v>
      </c>
      <c r="R353" s="180"/>
    </row>
    <row r="354" spans="17:18" ht="12.75">
      <c r="Q354" s="386" t="s">
        <v>1232</v>
      </c>
      <c r="R354" s="172"/>
    </row>
    <row r="355" spans="17:18" ht="12.75">
      <c r="Q355" s="361" t="s">
        <v>1139</v>
      </c>
      <c r="R355" s="172"/>
    </row>
    <row r="356" spans="17:18" ht="12.75">
      <c r="Q356" s="361" t="s">
        <v>186</v>
      </c>
      <c r="R356" s="172"/>
    </row>
    <row r="357" spans="17:18" ht="12.75">
      <c r="Q357" s="361" t="s">
        <v>331</v>
      </c>
      <c r="R357" s="172"/>
    </row>
    <row r="358" spans="17:18" ht="12.75">
      <c r="Q358" s="361" t="s">
        <v>264</v>
      </c>
      <c r="R358" s="172"/>
    </row>
    <row r="359" spans="17:18" ht="12.75">
      <c r="Q359" s="361" t="s">
        <v>332</v>
      </c>
      <c r="R359" s="177"/>
    </row>
    <row r="360" spans="17:18" ht="12.75">
      <c r="Q360" s="361" t="s">
        <v>333</v>
      </c>
      <c r="R360" s="172"/>
    </row>
    <row r="361" spans="17:18" ht="12.75">
      <c r="Q361" s="172" t="s">
        <v>334</v>
      </c>
      <c r="R361" s="172"/>
    </row>
    <row r="362" spans="17:18" ht="12.75">
      <c r="Q362" s="361" t="s">
        <v>1195</v>
      </c>
      <c r="R362" s="180"/>
    </row>
    <row r="363" spans="17:18" ht="12.75">
      <c r="Q363" s="361" t="s">
        <v>265</v>
      </c>
      <c r="R363" s="180"/>
    </row>
    <row r="364" spans="17:18" ht="12.75">
      <c r="Q364" s="361" t="s">
        <v>279</v>
      </c>
      <c r="R364" s="180"/>
    </row>
    <row r="365" spans="17:18" ht="12.75">
      <c r="Q365" s="361" t="s">
        <v>295</v>
      </c>
      <c r="R365" s="172"/>
    </row>
    <row r="366" spans="17:18" ht="12.75">
      <c r="Q366" s="361" t="s">
        <v>238</v>
      </c>
      <c r="R366" s="180"/>
    </row>
    <row r="367" spans="17:18" ht="12.75">
      <c r="Q367" s="361" t="s">
        <v>1212</v>
      </c>
      <c r="R367" s="172"/>
    </row>
    <row r="368" spans="17:18" ht="12.75">
      <c r="Q368" s="361" t="s">
        <v>346</v>
      </c>
      <c r="R368" s="177"/>
    </row>
    <row r="369" spans="17:18" ht="12.75">
      <c r="Q369" s="361" t="s">
        <v>266</v>
      </c>
      <c r="R369" s="172"/>
    </row>
    <row r="370" spans="17:18" ht="12.75">
      <c r="Q370" s="386" t="s">
        <v>224</v>
      </c>
      <c r="R370" s="172"/>
    </row>
    <row r="371" spans="17:18" ht="12.75">
      <c r="Q371" s="361" t="s">
        <v>267</v>
      </c>
      <c r="R371" s="172"/>
    </row>
    <row r="372" spans="17:18" ht="12.75">
      <c r="Q372" s="361" t="s">
        <v>254</v>
      </c>
      <c r="R372" s="172"/>
    </row>
    <row r="373" spans="17:18" ht="12.75">
      <c r="Q373" s="361" t="s">
        <v>1140</v>
      </c>
      <c r="R373" s="172"/>
    </row>
    <row r="374" spans="17:18" ht="12.75">
      <c r="Q374" s="361" t="s">
        <v>139</v>
      </c>
      <c r="R374" s="172"/>
    </row>
    <row r="375" spans="17:18" ht="12.75">
      <c r="Q375" s="172" t="s">
        <v>1244</v>
      </c>
      <c r="R375" s="172"/>
    </row>
    <row r="376" spans="17:18" ht="12.75">
      <c r="Q376" s="172" t="s">
        <v>187</v>
      </c>
      <c r="R376" s="172"/>
    </row>
    <row r="377" spans="17:18" ht="12.75">
      <c r="Q377" s="386" t="s">
        <v>1120</v>
      </c>
      <c r="R377" s="172"/>
    </row>
    <row r="378" spans="17:18" ht="12.75">
      <c r="Q378" s="386" t="s">
        <v>1196</v>
      </c>
      <c r="R378" s="172"/>
    </row>
    <row r="379" spans="17:18" ht="12.75">
      <c r="Q379" s="361" t="s">
        <v>241</v>
      </c>
      <c r="R379" s="185"/>
    </row>
    <row r="380" spans="17:18" ht="12.75">
      <c r="Q380" s="386" t="s">
        <v>1081</v>
      </c>
      <c r="R380" s="178"/>
    </row>
    <row r="381" spans="17:18" ht="12.75">
      <c r="Q381" s="361" t="s">
        <v>212</v>
      </c>
      <c r="R381" s="179"/>
    </row>
    <row r="382" spans="17:18" ht="12.75">
      <c r="Q382" s="361" t="s">
        <v>1141</v>
      </c>
      <c r="R382" s="177"/>
    </row>
    <row r="383" spans="17:18" ht="12.75">
      <c r="Q383" s="361" t="s">
        <v>280</v>
      </c>
      <c r="R383" s="176"/>
    </row>
    <row r="384" spans="17:18" ht="12.75">
      <c r="Q384" s="361" t="s">
        <v>188</v>
      </c>
      <c r="R384" s="179"/>
    </row>
    <row r="385" spans="17:18" ht="12.75">
      <c r="Q385" s="361" t="s">
        <v>1216</v>
      </c>
      <c r="R385" s="177"/>
    </row>
    <row r="386" spans="17:18" ht="12.75">
      <c r="Q386" s="172" t="s">
        <v>335</v>
      </c>
      <c r="R386" s="172"/>
    </row>
    <row r="387" spans="17:18" ht="12.75">
      <c r="Q387" s="388" t="s">
        <v>189</v>
      </c>
      <c r="R387" s="172"/>
    </row>
    <row r="388" spans="17:18" ht="12.75">
      <c r="Q388" s="388" t="s">
        <v>74</v>
      </c>
      <c r="R388" s="177"/>
    </row>
    <row r="389" spans="17:18" ht="12.75">
      <c r="Q389" s="343" t="s">
        <v>144</v>
      </c>
      <c r="R389" s="177"/>
    </row>
    <row r="390" spans="17:18" ht="12.75">
      <c r="Q390" s="172" t="s">
        <v>1276</v>
      </c>
      <c r="R390" s="172"/>
    </row>
    <row r="391" spans="17:18" ht="12.75">
      <c r="Q391" s="388" t="s">
        <v>281</v>
      </c>
      <c r="R391" s="172"/>
    </row>
    <row r="392" spans="17:18" ht="12.75">
      <c r="Q392" s="388" t="s">
        <v>239</v>
      </c>
      <c r="R392" s="180"/>
    </row>
    <row r="393" spans="17:18" ht="12.75">
      <c r="Q393" s="396" t="s">
        <v>225</v>
      </c>
      <c r="R393" s="172"/>
    </row>
    <row r="394" spans="17:18" ht="12.75">
      <c r="Q394" s="396" t="s">
        <v>226</v>
      </c>
      <c r="R394" s="172"/>
    </row>
    <row r="395" spans="17:18" ht="12.75">
      <c r="Q395" s="396" t="s">
        <v>227</v>
      </c>
      <c r="R395" s="172"/>
    </row>
    <row r="396" spans="17:18" ht="12.75">
      <c r="Q396" s="388" t="s">
        <v>130</v>
      </c>
      <c r="R396" s="172"/>
    </row>
    <row r="397" spans="17:18" ht="12.75">
      <c r="Q397" s="388" t="s">
        <v>131</v>
      </c>
      <c r="R397" s="172"/>
    </row>
    <row r="398" spans="17:18" ht="12.75">
      <c r="Q398" s="388" t="s">
        <v>132</v>
      </c>
      <c r="R398" s="172"/>
    </row>
    <row r="399" spans="17:18" ht="12.75">
      <c r="Q399" s="388" t="s">
        <v>133</v>
      </c>
      <c r="R399" s="172"/>
    </row>
    <row r="400" spans="17:18" ht="12.75">
      <c r="Q400" s="388" t="s">
        <v>134</v>
      </c>
      <c r="R400" s="172"/>
    </row>
    <row r="401" spans="17:18" ht="12.75">
      <c r="Q401" s="388" t="s">
        <v>136</v>
      </c>
      <c r="R401" s="172"/>
    </row>
    <row r="402" spans="17:18" ht="12.75">
      <c r="Q402" s="388" t="s">
        <v>1057</v>
      </c>
      <c r="R402" s="172"/>
    </row>
    <row r="403" spans="17:18" ht="12.75">
      <c r="Q403" s="172" t="s">
        <v>135</v>
      </c>
      <c r="R403" s="172"/>
    </row>
    <row r="404" spans="17:18" ht="12.75">
      <c r="Q404" s="361" t="s">
        <v>145</v>
      </c>
      <c r="R404" s="172"/>
    </row>
    <row r="405" spans="17:18" ht="12.75">
      <c r="Q405" s="388" t="s">
        <v>1277</v>
      </c>
      <c r="R405" s="172"/>
    </row>
    <row r="406" spans="17:18" ht="12.75">
      <c r="Q406" s="172" t="s">
        <v>296</v>
      </c>
      <c r="R406" s="172"/>
    </row>
    <row r="407" spans="17:18" ht="12.75">
      <c r="Q407" s="172" t="s">
        <v>146</v>
      </c>
      <c r="R407" s="172"/>
    </row>
    <row r="408" spans="17:18" ht="12.75">
      <c r="Q408" s="388" t="s">
        <v>1157</v>
      </c>
      <c r="R408" s="172"/>
    </row>
    <row r="409" spans="17:18" ht="12.75">
      <c r="Q409" s="388" t="s">
        <v>1089</v>
      </c>
      <c r="R409" s="180"/>
    </row>
    <row r="410" spans="17:18" ht="12.75">
      <c r="Q410" s="388" t="s">
        <v>1090</v>
      </c>
      <c r="R410" s="172"/>
    </row>
    <row r="411" spans="17:18" ht="12.75">
      <c r="Q411" s="388" t="s">
        <v>339</v>
      </c>
      <c r="R411" s="172"/>
    </row>
    <row r="412" spans="17:18" ht="12.75">
      <c r="Q412" s="388" t="s">
        <v>341</v>
      </c>
      <c r="R412" s="172"/>
    </row>
    <row r="413" spans="17:18" ht="12.75">
      <c r="Q413" s="396" t="s">
        <v>1230</v>
      </c>
      <c r="R413" s="172"/>
    </row>
    <row r="414" spans="17:18" ht="12.75">
      <c r="Q414" s="388" t="s">
        <v>158</v>
      </c>
      <c r="R414" s="172"/>
    </row>
    <row r="415" spans="17:18" ht="12.75">
      <c r="Q415" s="388" t="s">
        <v>297</v>
      </c>
      <c r="R415" s="172"/>
    </row>
    <row r="416" spans="17:18" ht="12.75">
      <c r="Q416" s="396" t="s">
        <v>228</v>
      </c>
      <c r="R416" s="172"/>
    </row>
    <row r="417" spans="17:18" ht="12.75">
      <c r="Q417" s="396" t="s">
        <v>1272</v>
      </c>
      <c r="R417" s="180"/>
    </row>
    <row r="418" spans="17:18" ht="12.75">
      <c r="Q418" s="180" t="s">
        <v>229</v>
      </c>
      <c r="R418" s="180"/>
    </row>
    <row r="419" spans="17:18" ht="12.75">
      <c r="Q419" s="180" t="s">
        <v>235</v>
      </c>
      <c r="R419" s="177"/>
    </row>
    <row r="420" spans="17:18" ht="12.75">
      <c r="Q420" s="388" t="s">
        <v>337</v>
      </c>
      <c r="R420" s="172"/>
    </row>
    <row r="421" spans="17:18" ht="12.75">
      <c r="Q421" s="388" t="s">
        <v>336</v>
      </c>
      <c r="R421" s="172"/>
    </row>
    <row r="422" spans="17:18" ht="12.75">
      <c r="Q422" s="388" t="s">
        <v>1174</v>
      </c>
      <c r="R422" s="172"/>
    </row>
    <row r="423" spans="17:18" ht="12.75">
      <c r="Q423" s="388" t="s">
        <v>1213</v>
      </c>
      <c r="R423" s="172"/>
    </row>
    <row r="424" spans="17:18" ht="12.75">
      <c r="Q424" s="396" t="s">
        <v>1229</v>
      </c>
      <c r="R424" s="172"/>
    </row>
    <row r="425" spans="17:18" ht="12.75">
      <c r="Q425" s="388" t="s">
        <v>359</v>
      </c>
      <c r="R425" s="172"/>
    </row>
    <row r="426" spans="17:18" ht="12.75">
      <c r="Q426" s="396" t="s">
        <v>1197</v>
      </c>
      <c r="R426" s="172"/>
    </row>
    <row r="427" spans="17:18" ht="12.75">
      <c r="Q427" s="388" t="s">
        <v>1251</v>
      </c>
      <c r="R427" s="172"/>
    </row>
    <row r="428" spans="17:18" ht="12.75">
      <c r="Q428" s="388" t="s">
        <v>298</v>
      </c>
      <c r="R428" s="172"/>
    </row>
    <row r="429" spans="17:18" ht="12.75">
      <c r="Q429" s="388" t="s">
        <v>299</v>
      </c>
      <c r="R429" s="172"/>
    </row>
    <row r="430" spans="17:18" ht="12.75">
      <c r="Q430" s="388" t="s">
        <v>204</v>
      </c>
      <c r="R430" s="180"/>
    </row>
    <row r="431" spans="17:18" ht="12.75">
      <c r="Q431" s="388" t="s">
        <v>300</v>
      </c>
      <c r="R431" s="180"/>
    </row>
    <row r="432" spans="17:18" ht="12.75">
      <c r="Q432" s="434" t="s">
        <v>66</v>
      </c>
      <c r="R432" s="180"/>
    </row>
    <row r="433" spans="17:18" ht="12.75">
      <c r="Q433" s="388" t="s">
        <v>301</v>
      </c>
      <c r="R433" s="180"/>
    </row>
    <row r="434" spans="17:18" ht="12.75">
      <c r="Q434" s="388" t="s">
        <v>190</v>
      </c>
      <c r="R434" s="172"/>
    </row>
    <row r="435" spans="17:18" ht="12.75">
      <c r="Q435" s="172" t="s">
        <v>154</v>
      </c>
      <c r="R435" s="172"/>
    </row>
    <row r="436" spans="17:18" ht="12.75">
      <c r="Q436" s="180" t="s">
        <v>1121</v>
      </c>
      <c r="R436" s="172"/>
    </row>
    <row r="437" spans="17:18" ht="12.75">
      <c r="Q437" s="361" t="s">
        <v>302</v>
      </c>
      <c r="R437" s="172"/>
    </row>
    <row r="438" spans="17:18" ht="12.75">
      <c r="Q438" s="377" t="s">
        <v>67</v>
      </c>
      <c r="R438" s="172"/>
    </row>
    <row r="439" spans="17:18" ht="12.75">
      <c r="Q439" s="361" t="s">
        <v>347</v>
      </c>
      <c r="R439" s="172"/>
    </row>
    <row r="440" spans="17:18" ht="12.75">
      <c r="Q440" s="361" t="s">
        <v>1072</v>
      </c>
      <c r="R440" s="172"/>
    </row>
    <row r="441" spans="17:18" ht="12.75">
      <c r="Q441" s="361" t="s">
        <v>191</v>
      </c>
      <c r="R441" s="172"/>
    </row>
    <row r="442" spans="17:18" ht="12.75">
      <c r="Q442" s="361" t="s">
        <v>1154</v>
      </c>
      <c r="R442" s="172"/>
    </row>
    <row r="443" spans="17:18" ht="12.75">
      <c r="Q443" s="361" t="s">
        <v>351</v>
      </c>
      <c r="R443" s="172"/>
    </row>
    <row r="444" spans="17:18" ht="12.75">
      <c r="Q444" s="174" t="s">
        <v>68</v>
      </c>
      <c r="R444" s="172"/>
    </row>
    <row r="445" spans="17:18" ht="12.75">
      <c r="Q445" s="361" t="s">
        <v>242</v>
      </c>
      <c r="R445" s="172"/>
    </row>
    <row r="446" spans="17:18" ht="12.75">
      <c r="Q446" s="361" t="s">
        <v>1116</v>
      </c>
      <c r="R446" s="172"/>
    </row>
    <row r="447" spans="17:18" ht="12.75">
      <c r="Q447" s="361" t="s">
        <v>303</v>
      </c>
      <c r="R447" s="172"/>
    </row>
    <row r="448" spans="17:18" ht="12.75">
      <c r="Q448" s="361" t="s">
        <v>166</v>
      </c>
      <c r="R448" s="172"/>
    </row>
    <row r="449" spans="17:18" ht="12.75">
      <c r="Q449" s="361" t="s">
        <v>366</v>
      </c>
      <c r="R449" s="180"/>
    </row>
    <row r="450" spans="17:18" ht="12.75">
      <c r="Q450" s="361" t="s">
        <v>374</v>
      </c>
      <c r="R450" s="172"/>
    </row>
    <row r="451" spans="17:18" ht="12.75">
      <c r="Q451" s="386" t="s">
        <v>1198</v>
      </c>
      <c r="R451" s="172"/>
    </row>
    <row r="452" spans="17:18" ht="12.75">
      <c r="Q452" s="361" t="s">
        <v>352</v>
      </c>
      <c r="R452" s="180"/>
    </row>
    <row r="453" spans="17:18" ht="12.75">
      <c r="Q453" s="361" t="s">
        <v>192</v>
      </c>
      <c r="R453" s="180"/>
    </row>
    <row r="454" spans="17:18" ht="12.75">
      <c r="Q454" s="361" t="s">
        <v>147</v>
      </c>
      <c r="R454" s="180"/>
    </row>
    <row r="455" spans="17:18" ht="12.75">
      <c r="Q455" s="361" t="s">
        <v>354</v>
      </c>
      <c r="R455" s="182"/>
    </row>
    <row r="456" spans="17:18" ht="12.75">
      <c r="Q456" s="361" t="s">
        <v>355</v>
      </c>
      <c r="R456" s="183"/>
    </row>
    <row r="457" spans="17:18" ht="12.75">
      <c r="Q457" s="361" t="s">
        <v>193</v>
      </c>
      <c r="R457" s="172"/>
    </row>
    <row r="458" spans="17:18" ht="12.75">
      <c r="Q458" s="361" t="s">
        <v>358</v>
      </c>
      <c r="R458" s="172"/>
    </row>
    <row r="459" spans="17:18" ht="12.75">
      <c r="Q459" s="361" t="s">
        <v>310</v>
      </c>
      <c r="R459" s="176"/>
    </row>
    <row r="460" spans="17:18" ht="12.75">
      <c r="Q460" s="397" t="s">
        <v>367</v>
      </c>
      <c r="R460" s="172"/>
    </row>
    <row r="461" spans="17:18" ht="12.75">
      <c r="Q461" s="386" t="s">
        <v>1122</v>
      </c>
      <c r="R461" s="180"/>
    </row>
    <row r="462" spans="17:18" ht="12.75">
      <c r="Q462" s="361" t="s">
        <v>1088</v>
      </c>
      <c r="R462" s="172"/>
    </row>
    <row r="463" spans="17:18" ht="12.75">
      <c r="Q463" s="174" t="s">
        <v>69</v>
      </c>
      <c r="R463" s="172"/>
    </row>
    <row r="464" spans="17:18" ht="12.75">
      <c r="Q464" s="172" t="s">
        <v>305</v>
      </c>
      <c r="R464" s="180"/>
    </row>
    <row r="465" spans="17:18" ht="12.75">
      <c r="Q465" s="361" t="s">
        <v>306</v>
      </c>
      <c r="R465" s="172"/>
    </row>
    <row r="466" spans="17:18" ht="12.75">
      <c r="Q466" s="361" t="s">
        <v>194</v>
      </c>
      <c r="R466" s="172"/>
    </row>
    <row r="467" spans="17:18" ht="12.75">
      <c r="Q467" s="386" t="s">
        <v>230</v>
      </c>
      <c r="R467" s="172"/>
    </row>
    <row r="468" spans="17:18" ht="12.75">
      <c r="Q468" s="361" t="s">
        <v>195</v>
      </c>
      <c r="R468" s="172"/>
    </row>
    <row r="469" spans="17:18" ht="12.75">
      <c r="Q469" s="361" t="s">
        <v>1158</v>
      </c>
      <c r="R469" s="172"/>
    </row>
    <row r="470" spans="17:18" ht="12.75">
      <c r="Q470" s="361" t="s">
        <v>1226</v>
      </c>
      <c r="R470" s="174"/>
    </row>
    <row r="471" spans="17:18" ht="12.75">
      <c r="Q471" s="361" t="s">
        <v>148</v>
      </c>
      <c r="R471" s="172"/>
    </row>
    <row r="472" spans="17:18" ht="12.75">
      <c r="Q472" s="361" t="s">
        <v>155</v>
      </c>
      <c r="R472" s="172"/>
    </row>
    <row r="473" spans="17:18" ht="12.75">
      <c r="Q473" s="361" t="s">
        <v>1160</v>
      </c>
      <c r="R473" s="172"/>
    </row>
    <row r="474" spans="17:18" ht="12.75">
      <c r="Q474" s="361" t="s">
        <v>1142</v>
      </c>
      <c r="R474" s="180"/>
    </row>
    <row r="475" spans="12:18" ht="12.75">
      <c r="L475" s="423"/>
      <c r="Q475" s="361" t="s">
        <v>1278</v>
      </c>
      <c r="R475" s="172"/>
    </row>
    <row r="476" spans="17:18" ht="12.75">
      <c r="Q476" s="361" t="s">
        <v>196</v>
      </c>
      <c r="R476" s="172"/>
    </row>
    <row r="477" spans="17:18" ht="12.75">
      <c r="Q477" s="361" t="s">
        <v>360</v>
      </c>
      <c r="R477" s="174"/>
    </row>
    <row r="478" spans="17:18" ht="12.75">
      <c r="Q478" s="361" t="s">
        <v>361</v>
      </c>
      <c r="R478" s="172"/>
    </row>
    <row r="479" spans="17:18" ht="12.75">
      <c r="Q479" s="361" t="s">
        <v>1073</v>
      </c>
      <c r="R479" s="172"/>
    </row>
    <row r="480" spans="17:18" ht="12.75">
      <c r="Q480" s="172" t="s">
        <v>1173</v>
      </c>
      <c r="R480" s="172"/>
    </row>
    <row r="481" spans="17:18" ht="12.75">
      <c r="Q481" s="172" t="s">
        <v>1093</v>
      </c>
      <c r="R481" s="172"/>
    </row>
    <row r="482" spans="17:18" ht="12.75">
      <c r="Q482" s="361" t="s">
        <v>1143</v>
      </c>
      <c r="R482" s="174"/>
    </row>
    <row r="483" spans="17:18" ht="12.75">
      <c r="Q483" s="435" t="s">
        <v>1131</v>
      </c>
      <c r="R483" s="184"/>
    </row>
    <row r="484" spans="17:18" ht="12.75">
      <c r="Q484" s="173"/>
      <c r="R484" s="172"/>
    </row>
    <row r="485" spans="17:18" ht="12.75">
      <c r="Q485" s="180"/>
      <c r="R485" s="172"/>
    </row>
    <row r="486" spans="17:18" ht="12.75">
      <c r="Q486" s="172"/>
      <c r="R486" s="172"/>
    </row>
    <row r="487" spans="17:18" ht="12.75">
      <c r="Q487" s="174"/>
      <c r="R487" s="172"/>
    </row>
    <row r="488" spans="17:18" ht="12.75">
      <c r="Q488" s="172"/>
      <c r="R488" s="172"/>
    </row>
    <row r="489" spans="17:18" ht="12.75">
      <c r="Q489" s="172"/>
      <c r="R489" s="180"/>
    </row>
    <row r="490" spans="17:18" ht="12.75">
      <c r="Q490" s="172"/>
      <c r="R490" s="172"/>
    </row>
    <row r="491" spans="17:18" ht="12.75">
      <c r="Q491" s="172"/>
      <c r="R491" s="172"/>
    </row>
    <row r="492" spans="17:18" ht="12.75">
      <c r="Q492" s="180"/>
      <c r="R492" s="172"/>
    </row>
    <row r="493" spans="17:18" ht="12.75">
      <c r="Q493" s="172"/>
      <c r="R493" s="172"/>
    </row>
    <row r="494" spans="17:18" ht="12.75">
      <c r="Q494" s="172"/>
      <c r="R494" s="172"/>
    </row>
    <row r="495" spans="17:18" ht="12.75">
      <c r="Q495" s="172"/>
      <c r="R495" s="172"/>
    </row>
    <row r="496" spans="17:18" ht="12.75">
      <c r="Q496" s="172"/>
      <c r="R496" s="172"/>
    </row>
    <row r="497" spans="17:18" ht="12.75">
      <c r="Q497" s="172"/>
      <c r="R497" s="172"/>
    </row>
    <row r="498" spans="17:18" ht="12.75">
      <c r="Q498" s="172"/>
      <c r="R498" s="177"/>
    </row>
    <row r="499" spans="17:18" ht="12.75">
      <c r="Q499" s="172"/>
      <c r="R499" s="173"/>
    </row>
    <row r="500" spans="17:18" ht="12.75">
      <c r="Q500" s="172"/>
      <c r="R500" s="180"/>
    </row>
    <row r="501" spans="17:18" ht="12.75">
      <c r="Q501" s="172"/>
      <c r="R501" s="172"/>
    </row>
    <row r="502" spans="17:18" ht="12.75">
      <c r="Q502" s="172"/>
      <c r="R502" s="174"/>
    </row>
    <row r="503" spans="17:18" ht="12.75">
      <c r="Q503" s="172"/>
      <c r="R503" s="172"/>
    </row>
    <row r="504" spans="17:18" ht="12.75">
      <c r="Q504" s="172"/>
      <c r="R504" s="172"/>
    </row>
    <row r="505" spans="17:18" ht="12.75">
      <c r="Q505" s="172"/>
      <c r="R505" s="172"/>
    </row>
    <row r="506" spans="17:18" ht="12.75">
      <c r="Q506" s="172"/>
      <c r="R506" s="180"/>
    </row>
    <row r="507" spans="17:18" ht="12.75">
      <c r="Q507" s="172"/>
      <c r="R507" s="172"/>
    </row>
    <row r="508" spans="17:18" ht="12.75">
      <c r="Q508" s="172"/>
      <c r="R508" s="172"/>
    </row>
    <row r="509" spans="17:18" ht="12.75">
      <c r="Q509" s="172"/>
      <c r="R509" s="172"/>
    </row>
    <row r="510" spans="17:18" ht="12.75">
      <c r="Q510" s="172"/>
      <c r="R510" s="172"/>
    </row>
    <row r="511" spans="17:18" ht="12.75">
      <c r="Q511" s="172"/>
      <c r="R511" s="172"/>
    </row>
    <row r="512" ht="12.75">
      <c r="R512" s="172"/>
    </row>
    <row r="513" ht="12.75">
      <c r="R513" s="172"/>
    </row>
    <row r="514" ht="12.75">
      <c r="R514" s="172"/>
    </row>
    <row r="515" spans="17:18" ht="12.75">
      <c r="Q515" s="410"/>
      <c r="R515" s="172"/>
    </row>
    <row r="516" ht="12.75">
      <c r="R516" s="172"/>
    </row>
    <row r="517" ht="12.75">
      <c r="R517" s="172"/>
    </row>
    <row r="518" ht="12.75">
      <c r="R518" s="172"/>
    </row>
    <row r="519" ht="12.75">
      <c r="R519" s="172"/>
    </row>
    <row r="520" ht="12.75">
      <c r="R520" s="172"/>
    </row>
    <row r="521" ht="12.75">
      <c r="R521"/>
    </row>
    <row r="522" ht="12.75">
      <c r="R522"/>
    </row>
  </sheetData>
  <sheetProtection sheet="1"/>
  <protectedRanges>
    <protectedRange sqref="C8" name="Project Number"/>
    <protectedRange sqref="K32:K33" name="Most Recent Population numbers"/>
    <protectedRange sqref="E26:L27" name="District ADM Estimate_1"/>
  </protectedRanges>
  <dataValidations count="2">
    <dataValidation type="list" allowBlank="1" showInputMessage="1" showErrorMessage="1" sqref="C9">
      <formula1>$Q$8:$Q$12</formula1>
    </dataValidation>
    <dataValidation type="list" allowBlank="1" showInputMessage="1" showErrorMessage="1" sqref="C7">
      <formula1>Q41:Q986</formula1>
    </dataValidation>
  </dataValidations>
  <printOptions horizontalCentered="1" verticalCentered="1"/>
  <pageMargins left="0.5" right="0.5" top="1" bottom="1" header="0.5" footer="0.5"/>
  <pageSetup fitToHeight="1" fitToWidth="1" horizontalDpi="600" verticalDpi="600" orientation="landscape" scale="80" r:id="rId5"/>
  <headerFooter alignWithMargins="0">
    <oddFooter>&amp;LPrinted:  &amp;D&amp;CFile Name:  &amp;F&amp;RWorksheet:  &amp;A</oddFooter>
  </headerFooter>
  <ignoredErrors>
    <ignoredError sqref="O26:O27 O29:O30 F29:F30 G29:G30 H29:H30 J29:J30 K29:L30 I29:I30" evalError="1"/>
  </ignoredErrors>
  <legacyDrawing r:id="rId4"/>
  <oleObjects>
    <oleObject progId="MSPhotoEd.3" shapeId="1768328" r:id="rId2"/>
    <oleObject progId="Word.Document.8" shapeId="842727" r:id="rId3"/>
  </oleObjects>
</worksheet>
</file>

<file path=xl/worksheets/sheet2.xml><?xml version="1.0" encoding="utf-8"?>
<worksheet xmlns="http://schemas.openxmlformats.org/spreadsheetml/2006/main" xmlns:r="http://schemas.openxmlformats.org/officeDocument/2006/relationships">
  <sheetPr codeName="Sheet1"/>
  <dimension ref="B1:J34"/>
  <sheetViews>
    <sheetView zoomScalePageLayoutView="0" workbookViewId="0" topLeftCell="A1">
      <selection activeCell="I15" sqref="I15"/>
    </sheetView>
  </sheetViews>
  <sheetFormatPr defaultColWidth="9.140625" defaultRowHeight="12.75"/>
  <cols>
    <col min="1" max="1" width="1.8515625" style="0" customWidth="1"/>
    <col min="3" max="3" width="5.7109375" style="0" customWidth="1"/>
    <col min="4" max="4" width="6.00390625" style="0" customWidth="1"/>
    <col min="5" max="5" width="9.8515625" style="0" bestFit="1" customWidth="1"/>
    <col min="6" max="6" width="10.8515625" style="0" customWidth="1"/>
    <col min="7" max="7" width="14.421875" style="0" customWidth="1"/>
    <col min="8" max="8" width="28.28125" style="0" customWidth="1"/>
    <col min="9" max="9" width="14.7109375" style="0" customWidth="1"/>
    <col min="10" max="10" width="11.28125" style="0" customWidth="1"/>
    <col min="13" max="13" width="11.57421875" style="0" bestFit="1" customWidth="1"/>
  </cols>
  <sheetData>
    <row r="1" spans="5:9" ht="12" customHeight="1" thickBot="1">
      <c r="E1" s="1"/>
      <c r="F1" s="2"/>
      <c r="G1" s="2"/>
      <c r="H1" s="2"/>
      <c r="I1" s="2"/>
    </row>
    <row r="2" spans="5:10" ht="24" thickBot="1">
      <c r="E2" s="11" t="s">
        <v>17</v>
      </c>
      <c r="F2" s="12"/>
      <c r="G2" s="12"/>
      <c r="H2" s="13"/>
      <c r="I2" s="13"/>
      <c r="J2" s="14"/>
    </row>
    <row r="3" spans="5:10" ht="23.25">
      <c r="E3" s="15"/>
      <c r="F3" s="16"/>
      <c r="G3" s="16"/>
      <c r="H3" s="17"/>
      <c r="I3" s="17"/>
      <c r="J3" s="18"/>
    </row>
    <row r="4" spans="5:10" ht="12.75">
      <c r="E4" s="6"/>
      <c r="G4" s="8" t="s">
        <v>0</v>
      </c>
      <c r="H4" s="63" t="e">
        <f>SD</f>
        <v>#N/A</v>
      </c>
      <c r="I4" s="63"/>
      <c r="J4" s="64"/>
    </row>
    <row r="5" spans="5:10" ht="12.75">
      <c r="E5" s="6"/>
      <c r="G5" s="8" t="s">
        <v>1</v>
      </c>
      <c r="H5" s="63">
        <f>NAME</f>
        <v>0</v>
      </c>
      <c r="I5" s="63"/>
      <c r="J5" s="65"/>
    </row>
    <row r="6" spans="5:10" ht="12.75">
      <c r="E6" s="6"/>
      <c r="G6" s="8" t="s">
        <v>4</v>
      </c>
      <c r="H6" s="20" t="str">
        <f>PROJNO</f>
        <v>20-xxx</v>
      </c>
      <c r="I6" s="66"/>
      <c r="J6" s="65"/>
    </row>
    <row r="7" spans="5:10" ht="13.5" customHeight="1">
      <c r="E7" s="6"/>
      <c r="G7" s="8" t="s">
        <v>2</v>
      </c>
      <c r="H7" s="192" t="str">
        <f>ADM!C9</f>
        <v>K-12</v>
      </c>
      <c r="I7" s="67"/>
      <c r="J7" s="68"/>
    </row>
    <row r="8" spans="5:10" ht="12.75">
      <c r="E8" s="6"/>
      <c r="G8" s="8"/>
      <c r="H8" s="50"/>
      <c r="I8" s="50"/>
      <c r="J8" s="40"/>
    </row>
    <row r="9" spans="5:10" ht="13.5" thickBot="1">
      <c r="E9" s="7"/>
      <c r="F9" s="4"/>
      <c r="G9" s="4"/>
      <c r="H9" s="4"/>
      <c r="I9" s="4"/>
      <c r="J9" s="5"/>
    </row>
    <row r="10" spans="5:10" ht="13.5" thickBot="1">
      <c r="E10" s="3"/>
      <c r="J10" s="3"/>
    </row>
    <row r="11" spans="4:10" s="21" customFormat="1" ht="12.75">
      <c r="D11" s="22"/>
      <c r="E11" s="30"/>
      <c r="F11" s="23"/>
      <c r="G11" s="23"/>
      <c r="H11" s="23"/>
      <c r="I11" s="23"/>
      <c r="J11" s="35"/>
    </row>
    <row r="12" spans="5:10" s="21" customFormat="1" ht="12.75">
      <c r="E12" s="31"/>
      <c r="F12" s="24"/>
      <c r="G12" s="24"/>
      <c r="H12" s="24"/>
      <c r="I12" s="24"/>
      <c r="J12" s="36"/>
    </row>
    <row r="13" spans="5:10" s="21" customFormat="1" ht="15">
      <c r="E13" s="32"/>
      <c r="F13" s="24"/>
      <c r="G13" s="8" t="s">
        <v>3</v>
      </c>
      <c r="I13" s="196" t="e">
        <f>IF(ABS(sdk6-FCrate)&gt;0.005,k6ADM,ADM!L26)</f>
        <v>#N/A</v>
      </c>
      <c r="J13" s="316" t="s">
        <v>1055</v>
      </c>
    </row>
    <row r="14" spans="5:10" s="21" customFormat="1" ht="15">
      <c r="E14" s="32"/>
      <c r="F14" s="24"/>
      <c r="G14" s="8" t="s">
        <v>12</v>
      </c>
      <c r="I14" s="196" t="e">
        <f>IF(ABS(sd712-FCrate)&gt;0.005,ADM712,ADM!L27)</f>
        <v>#N/A</v>
      </c>
      <c r="J14" s="316" t="s">
        <v>1055</v>
      </c>
    </row>
    <row r="15" spans="5:10" s="21" customFormat="1" ht="15">
      <c r="E15" s="32"/>
      <c r="F15" s="24"/>
      <c r="G15" s="8" t="s">
        <v>1056</v>
      </c>
      <c r="I15" s="41"/>
      <c r="J15" s="316" t="s">
        <v>1085</v>
      </c>
    </row>
    <row r="16" spans="5:10" s="21" customFormat="1" ht="12.75">
      <c r="E16" s="32"/>
      <c r="F16" s="24"/>
      <c r="G16" s="8" t="s">
        <v>5</v>
      </c>
      <c r="I16" s="41"/>
      <c r="J16" s="37"/>
    </row>
    <row r="17" spans="2:10" s="21" customFormat="1" ht="12.75">
      <c r="B17" s="25"/>
      <c r="E17" s="33"/>
      <c r="F17" s="26"/>
      <c r="G17" s="8" t="s">
        <v>6</v>
      </c>
      <c r="I17" s="41">
        <v>0</v>
      </c>
      <c r="J17" s="38"/>
    </row>
    <row r="18" spans="2:10" s="52" customFormat="1" ht="15.75" customHeight="1">
      <c r="B18" s="51"/>
      <c r="E18" s="53"/>
      <c r="F18" s="54"/>
      <c r="G18" s="55" t="s">
        <v>7</v>
      </c>
      <c r="H18" s="56"/>
      <c r="I18" s="57">
        <f>I16+I17</f>
        <v>0</v>
      </c>
      <c r="J18" s="58"/>
    </row>
    <row r="19" spans="2:10" s="21" customFormat="1" ht="12.75">
      <c r="B19" s="25"/>
      <c r="E19" s="33"/>
      <c r="F19" s="28"/>
      <c r="J19" s="38"/>
    </row>
    <row r="20" spans="2:10" s="21" customFormat="1" ht="12.75">
      <c r="B20" s="25"/>
      <c r="E20" s="33"/>
      <c r="F20" s="28"/>
      <c r="J20" s="38"/>
    </row>
    <row r="21" spans="2:10" s="21" customFormat="1" ht="12.75">
      <c r="B21" s="25"/>
      <c r="E21" s="33"/>
      <c r="F21" s="28"/>
      <c r="G21" s="42" t="s">
        <v>8</v>
      </c>
      <c r="I21" s="27" t="e">
        <f>IF(ADM!$C$9="Elementary",114*I13,IF(ADM!$C$9="Secondary",I14*165,IF(ADM!$C$9="K-12",I13*114+I14*165,IF(ADM!$C$9="Mixed Grade",I13*114+I14*165,IF(ADM!$C$9="Secondary+6",(I13+I14)*165," ")))))</f>
        <v>#N/A</v>
      </c>
      <c r="J21" s="38"/>
    </row>
    <row r="22" spans="2:10" s="21" customFormat="1" ht="12.75">
      <c r="B22" s="25"/>
      <c r="E22" s="33"/>
      <c r="F22" s="28"/>
      <c r="G22" s="42" t="s">
        <v>9</v>
      </c>
      <c r="I22" s="27" t="e">
        <f>IF(ADM!$C$9="Elementary",I13*130*10^(-I13/250),IF(ADM!$C$9="Secondary",I14*300*10^(-I14/300),IF(ADM!$C$9="K-12",(I13+I14)*213*10^(-(I13+I14)/483),IF(ADM!$C$9="Mixed Grade",(I13+I14)*250*10^(-(I13+I14)/250),IF(ADM!$C$9="Secondary+6",(I13+I14)*250*10^(-(I13+I14)/250)," ")))))</f>
        <v>#N/A</v>
      </c>
      <c r="J22" s="38"/>
    </row>
    <row r="23" spans="2:10" s="44" customFormat="1" ht="24.75" customHeight="1">
      <c r="B23" s="43"/>
      <c r="E23" s="45"/>
      <c r="F23" s="46"/>
      <c r="G23" s="47" t="s">
        <v>10</v>
      </c>
      <c r="I23" s="48" t="e">
        <f>IF(I21=" ",0,I21+I22)</f>
        <v>#N/A</v>
      </c>
      <c r="J23" s="49"/>
    </row>
    <row r="24" spans="2:10" s="21" customFormat="1" ht="12.75">
      <c r="B24" s="25"/>
      <c r="E24" s="33"/>
      <c r="F24" s="26"/>
      <c r="J24" s="38"/>
    </row>
    <row r="25" spans="2:10" s="21" customFormat="1" ht="12.75">
      <c r="B25" s="25"/>
      <c r="E25" s="33"/>
      <c r="F25" s="26"/>
      <c r="J25" s="38"/>
    </row>
    <row r="26" spans="2:10" s="21" customFormat="1" ht="12.75">
      <c r="B26" s="25"/>
      <c r="E26" s="33"/>
      <c r="F26" s="28"/>
      <c r="G26" s="21" t="s">
        <v>11</v>
      </c>
      <c r="I26" s="27" t="e">
        <f>IF((I23-I16)&lt;0,0,(I23-I16))</f>
        <v>#N/A</v>
      </c>
      <c r="J26" s="39"/>
    </row>
    <row r="27" spans="5:10" s="21" customFormat="1" ht="12.75">
      <c r="E27" s="34"/>
      <c r="J27" s="39"/>
    </row>
    <row r="28" spans="5:10" s="21" customFormat="1" ht="12.75">
      <c r="E28" s="34"/>
      <c r="G28" s="21" t="s">
        <v>13</v>
      </c>
      <c r="I28" s="27" t="e">
        <f>IF(I26=0,"Not Eligible for Space",IF(I26&gt;I17,"No Reduction",I26-I17))</f>
        <v>#N/A</v>
      </c>
      <c r="J28" s="38"/>
    </row>
    <row r="29" spans="5:10" s="21" customFormat="1" ht="12.75">
      <c r="E29" s="34"/>
      <c r="J29" s="39"/>
    </row>
    <row r="30" spans="5:10" s="21" customFormat="1" ht="12.75">
      <c r="E30" s="34"/>
      <c r="G30" s="441" t="s">
        <v>1252</v>
      </c>
      <c r="J30" s="39"/>
    </row>
    <row r="31" spans="5:10" s="21" customFormat="1" ht="12.75">
      <c r="E31" s="34"/>
      <c r="G31" s="442" t="s">
        <v>1253</v>
      </c>
      <c r="I31" s="27" t="e">
        <f>IF(I23&lt;I18,(IF((I23*0.15)&lt;3000,3000,(IF((I23*0.15)&gt;9000,9000,I23*0.15)))),(IF((I18*0.15)&lt;3000,3000,(IF((I18*0.15)&gt;9000,9000,I18*0.15)))))</f>
        <v>#N/A</v>
      </c>
      <c r="J31" s="39"/>
    </row>
    <row r="32" spans="5:10" s="21" customFormat="1" ht="12.75">
      <c r="E32" s="34"/>
      <c r="G32" s="442" t="s">
        <v>1254</v>
      </c>
      <c r="I32" s="27" t="e">
        <f>IF(I23&lt;I18,I23*0.05,I18*0.05)</f>
        <v>#N/A</v>
      </c>
      <c r="J32" s="39"/>
    </row>
    <row r="33" spans="5:10" s="21" customFormat="1" ht="12.75">
      <c r="E33" s="34"/>
      <c r="J33" s="39"/>
    </row>
    <row r="34" spans="5:10" ht="13.5" thickBot="1">
      <c r="E34" s="9"/>
      <c r="F34" s="10"/>
      <c r="G34" s="10"/>
      <c r="H34" s="10"/>
      <c r="I34" s="10"/>
      <c r="J34" s="29"/>
    </row>
  </sheetData>
  <sheetProtection sheet="1"/>
  <printOptions gridLines="1" horizontalCentered="1" verticalCentered="1"/>
  <pageMargins left="0.26" right="0.26" top="0.5" bottom="1" header="0.5" footer="0.5"/>
  <pageSetup horizontalDpi="300" verticalDpi="300" orientation="portrait" r:id="rId4"/>
  <headerFooter alignWithMargins="0">
    <oddFooter>&amp;L&amp;9Printed:  &amp;D&amp;CFile Name:  &amp;F&amp;R&amp;9Worksheet:  &amp;A</oddFooter>
  </headerFooter>
  <ignoredErrors>
    <ignoredError sqref="H4 I14" evalError="1"/>
    <ignoredError sqref="H6" unlockedFormula="1"/>
  </ignoredErrors>
  <drawing r:id="rId3"/>
  <legacyDrawing r:id="rId2"/>
  <oleObjects>
    <oleObject progId="MSPhotoEd.3" shapeId="1982359" r:id="rId1"/>
  </oleObjects>
</worksheet>
</file>

<file path=xl/worksheets/sheet3.xml><?xml version="1.0" encoding="utf-8"?>
<worksheet xmlns="http://schemas.openxmlformats.org/spreadsheetml/2006/main" xmlns:r="http://schemas.openxmlformats.org/officeDocument/2006/relationships">
  <sheetPr codeName="Sheet2"/>
  <dimension ref="B1:O33"/>
  <sheetViews>
    <sheetView zoomScalePageLayoutView="0" workbookViewId="0" topLeftCell="A1">
      <selection activeCell="A1" sqref="A1"/>
    </sheetView>
  </sheetViews>
  <sheetFormatPr defaultColWidth="9.140625" defaultRowHeight="12.75"/>
  <cols>
    <col min="1" max="1" width="1.8515625" style="0" customWidth="1"/>
    <col min="3" max="3" width="5.7109375" style="0" customWidth="1"/>
    <col min="4" max="4" width="6.00390625" style="0" customWidth="1"/>
    <col min="5" max="5" width="9.8515625" style="0" bestFit="1" customWidth="1"/>
    <col min="6" max="6" width="10.8515625" style="0" customWidth="1"/>
    <col min="7" max="7" width="14.421875" style="0" customWidth="1"/>
    <col min="8" max="8" width="28.28125" style="0" customWidth="1"/>
    <col min="9" max="9" width="14.7109375" style="0" customWidth="1"/>
    <col min="10" max="10" width="11.28125" style="0" customWidth="1"/>
  </cols>
  <sheetData>
    <row r="1" spans="5:9" ht="12" customHeight="1" thickBot="1">
      <c r="E1" s="1"/>
      <c r="F1" s="2"/>
      <c r="G1" s="2"/>
      <c r="H1" s="2"/>
      <c r="I1" s="2"/>
    </row>
    <row r="2" spans="5:10" ht="24" thickBot="1">
      <c r="E2" s="11" t="s">
        <v>25</v>
      </c>
      <c r="F2" s="12"/>
      <c r="G2" s="12"/>
      <c r="H2" s="13"/>
      <c r="I2" s="13"/>
      <c r="J2" s="14"/>
    </row>
    <row r="3" spans="5:10" ht="23.25">
      <c r="E3" s="15"/>
      <c r="F3" s="16"/>
      <c r="G3" s="16"/>
      <c r="H3" s="17"/>
      <c r="I3" s="17"/>
      <c r="J3" s="18"/>
    </row>
    <row r="4" spans="5:10" ht="12.75">
      <c r="E4" s="6"/>
      <c r="G4" s="8" t="s">
        <v>0</v>
      </c>
      <c r="H4" s="63" t="e">
        <f>'Allow SF'!H4</f>
        <v>#N/A</v>
      </c>
      <c r="I4" s="63"/>
      <c r="J4" s="64"/>
    </row>
    <row r="5" spans="5:10" ht="12.75">
      <c r="E5" s="6"/>
      <c r="G5" s="8" t="s">
        <v>1</v>
      </c>
      <c r="H5" s="63">
        <f>'Allow SF'!H5</f>
        <v>0</v>
      </c>
      <c r="I5" s="63"/>
      <c r="J5" s="65"/>
    </row>
    <row r="6" spans="5:10" ht="12.75">
      <c r="E6" s="6"/>
      <c r="G6" s="8" t="s">
        <v>4</v>
      </c>
      <c r="H6" s="20" t="str">
        <f>'Allow SF'!H6</f>
        <v>20-xxx</v>
      </c>
      <c r="I6" s="66"/>
      <c r="J6" s="65"/>
    </row>
    <row r="7" spans="5:10" ht="12.75">
      <c r="E7" s="6"/>
      <c r="G7" s="8" t="s">
        <v>2</v>
      </c>
      <c r="H7" s="197" t="str">
        <f>ADM!C9</f>
        <v>K-12</v>
      </c>
      <c r="I7" s="67"/>
      <c r="J7" s="68"/>
    </row>
    <row r="8" spans="5:10" ht="12.75">
      <c r="E8" s="6"/>
      <c r="G8" s="8"/>
      <c r="H8" s="50"/>
      <c r="I8" s="50"/>
      <c r="J8" s="40"/>
    </row>
    <row r="9" spans="5:10" ht="13.5" thickBot="1">
      <c r="E9" s="7"/>
      <c r="F9" s="4"/>
      <c r="G9" s="4"/>
      <c r="H9" s="4"/>
      <c r="I9" s="4"/>
      <c r="J9" s="5"/>
    </row>
    <row r="10" spans="5:10" ht="13.5" thickBot="1">
      <c r="E10" s="3"/>
      <c r="J10" s="3"/>
    </row>
    <row r="11" spans="4:10" s="21" customFormat="1" ht="12.75">
      <c r="D11" s="22"/>
      <c r="E11" s="30"/>
      <c r="F11" s="23"/>
      <c r="G11" s="23"/>
      <c r="H11" s="23"/>
      <c r="I11" s="23"/>
      <c r="J11" s="35"/>
    </row>
    <row r="12" spans="5:10" s="21" customFormat="1" ht="12.75">
      <c r="E12" s="31"/>
      <c r="F12" s="24"/>
      <c r="G12" s="24"/>
      <c r="H12" s="24"/>
      <c r="I12" s="24"/>
      <c r="J12" s="36"/>
    </row>
    <row r="13" spans="5:10" s="21" customFormat="1" ht="12.75">
      <c r="E13" s="32"/>
      <c r="F13" s="24"/>
      <c r="G13" s="8" t="s">
        <v>14</v>
      </c>
      <c r="I13" s="196" t="e">
        <f>ELEM</f>
        <v>#N/A</v>
      </c>
      <c r="J13" s="37"/>
    </row>
    <row r="14" spans="5:10" s="21" customFormat="1" ht="12.75">
      <c r="E14" s="32"/>
      <c r="F14" s="24"/>
      <c r="G14" s="8" t="s">
        <v>15</v>
      </c>
      <c r="I14" s="196" t="e">
        <f>SEC</f>
        <v>#N/A</v>
      </c>
      <c r="J14" s="37"/>
    </row>
    <row r="15" spans="5:10" s="21" customFormat="1" ht="12.75">
      <c r="E15" s="32"/>
      <c r="F15" s="24"/>
      <c r="G15" s="8" t="s">
        <v>16</v>
      </c>
      <c r="I15" s="198">
        <f>'Allow SF'!I15</f>
        <v>0</v>
      </c>
      <c r="J15" s="37"/>
    </row>
    <row r="16" spans="2:10" s="21" customFormat="1" ht="12.75">
      <c r="B16" s="25"/>
      <c r="E16" s="33"/>
      <c r="F16" s="28"/>
      <c r="J16" s="38"/>
    </row>
    <row r="17" spans="2:10" s="21" customFormat="1" ht="12.75">
      <c r="B17" s="25"/>
      <c r="E17" s="33"/>
      <c r="F17" s="28"/>
      <c r="J17" s="38"/>
    </row>
    <row r="18" spans="2:10" s="21" customFormat="1" ht="12.75">
      <c r="B18" s="25"/>
      <c r="E18" s="33"/>
      <c r="F18" s="28"/>
      <c r="G18" s="42" t="s">
        <v>19</v>
      </c>
      <c r="I18" s="61"/>
      <c r="J18" s="38"/>
    </row>
    <row r="19" spans="2:15" s="21" customFormat="1" ht="12.75">
      <c r="B19" s="25"/>
      <c r="E19" s="33"/>
      <c r="F19" s="28"/>
      <c r="G19" s="42" t="s">
        <v>20</v>
      </c>
      <c r="I19" s="199" t="str">
        <f>IF(EXSF=0," ",IF(TYPE="Elementary",0,IF(TYPE="Secondary",O19,EADM*csadm/ceadm)))</f>
        <v> </v>
      </c>
      <c r="J19" s="38"/>
      <c r="O19" s="62"/>
    </row>
    <row r="20" spans="2:10" s="21" customFormat="1" ht="12.75">
      <c r="B20" s="25"/>
      <c r="E20" s="33"/>
      <c r="F20" s="28"/>
      <c r="G20" s="42" t="s">
        <v>22</v>
      </c>
      <c r="I20" s="200" t="e">
        <f>IF($H$7="Elementary",114*I18,IF($H$7="Secondary",I19*165,IF($H$7="K-12",I18*114+I19*165,IF($H$7="Mixed Grade",I18*114+I19*165,IF($H$7="Secondary+6",(I18+I19)*165," ")))))</f>
        <v>#VALUE!</v>
      </c>
      <c r="J20" s="38"/>
    </row>
    <row r="21" spans="2:10" s="21" customFormat="1" ht="12.75">
      <c r="B21" s="25"/>
      <c r="E21" s="33"/>
      <c r="F21" s="28"/>
      <c r="G21" s="42" t="s">
        <v>23</v>
      </c>
      <c r="I21" s="200" t="e">
        <f>IF($H$7="Elementary",I18*130*10^(-I18/250),IF($H$7="Secondary",I19*300*10^(-I19/300),IF($H$7="K-12",(I18+I19)*213*10^(-(I18+I19)/483),IF($H$7="Mixed Grade",(I18+I19)*250*10^(-(I18+I19)/250),IF($H$7="Secondary+6",(I18+I19)*250*10^(-(I18+I19)/250)," ")))))</f>
        <v>#VALUE!</v>
      </c>
      <c r="J21" s="38"/>
    </row>
    <row r="22" spans="2:10" s="21" customFormat="1" ht="12.75">
      <c r="B22" s="25"/>
      <c r="E22" s="33"/>
      <c r="F22" s="28"/>
      <c r="G22" s="42" t="s">
        <v>21</v>
      </c>
      <c r="I22" s="200" t="str">
        <f>IF(EXSF=0," ",I20+I21)</f>
        <v> </v>
      </c>
      <c r="J22" s="38"/>
    </row>
    <row r="23" spans="2:10" s="21" customFormat="1" ht="12.75">
      <c r="B23" s="25"/>
      <c r="E23" s="33"/>
      <c r="F23" s="28"/>
      <c r="G23" s="42"/>
      <c r="I23" s="27"/>
      <c r="J23" s="38"/>
    </row>
    <row r="24" spans="2:10" s="21" customFormat="1" ht="12.75">
      <c r="B24" s="25"/>
      <c r="E24" s="33"/>
      <c r="F24" s="28"/>
      <c r="G24" s="42" t="s">
        <v>18</v>
      </c>
      <c r="I24" s="60" t="str">
        <f>IF(EXSF=0," ",IF(H7="Elementary",I13-I18,IF(H7="Secondary",I14-I19,(I13+I14)-(I18+I19))))</f>
        <v> </v>
      </c>
      <c r="J24" s="38"/>
    </row>
    <row r="25" spans="2:10" s="21" customFormat="1" ht="12.75">
      <c r="B25" s="25"/>
      <c r="E25" s="33"/>
      <c r="F25" s="28"/>
      <c r="G25" s="42"/>
      <c r="I25" s="27"/>
      <c r="J25" s="38"/>
    </row>
    <row r="26" spans="2:10" s="44" customFormat="1" ht="24.75" customHeight="1">
      <c r="B26" s="43"/>
      <c r="E26" s="45"/>
      <c r="F26" s="46"/>
      <c r="G26" s="47" t="s">
        <v>24</v>
      </c>
      <c r="I26" s="59" t="str">
        <f>IF(EXSF=0," ",IF(TYPE="Elementary",ceadm/EADM,IF(TYPE="Secondary",csadm/SADM,(I13+I14)/(EADM+SADM))))</f>
        <v> </v>
      </c>
      <c r="J26" s="49"/>
    </row>
    <row r="27" spans="2:10" s="21" customFormat="1" ht="12.75">
      <c r="B27" s="25"/>
      <c r="E27" s="33"/>
      <c r="F27" s="26"/>
      <c r="J27" s="38"/>
    </row>
    <row r="28" spans="2:10" s="21" customFormat="1" ht="12.75">
      <c r="B28" s="25"/>
      <c r="E28" s="33"/>
      <c r="F28" s="26"/>
      <c r="J28" s="38"/>
    </row>
    <row r="29" spans="5:10" s="21" customFormat="1" ht="12.75">
      <c r="E29" s="34"/>
      <c r="J29" s="39"/>
    </row>
    <row r="30" spans="5:10" s="21" customFormat="1" ht="12.75">
      <c r="E30" s="34"/>
      <c r="J30" s="39"/>
    </row>
    <row r="31" spans="5:10" s="21" customFormat="1" ht="12.75">
      <c r="E31" s="34"/>
      <c r="J31" s="39"/>
    </row>
    <row r="32" spans="5:10" s="21" customFormat="1" ht="12.75">
      <c r="E32" s="34"/>
      <c r="J32" s="39"/>
    </row>
    <row r="33" spans="5:10" ht="13.5" thickBot="1">
      <c r="E33" s="9"/>
      <c r="F33" s="10"/>
      <c r="G33" s="10"/>
      <c r="H33" s="10"/>
      <c r="I33" s="10"/>
      <c r="J33" s="29"/>
    </row>
  </sheetData>
  <sheetProtection sheet="1"/>
  <printOptions gridLines="1" horizontalCentered="1" verticalCentered="1"/>
  <pageMargins left="0.26" right="0.26" top="0.5" bottom="1" header="0.5" footer="0.5"/>
  <pageSetup horizontalDpi="300" verticalDpi="300" orientation="portrait" r:id="rId4"/>
  <headerFooter alignWithMargins="0">
    <oddFooter>&amp;L&amp;9Printed:  &amp;D&amp;CFile Name:  &amp;F&amp;R&amp;9Worksheet:  &amp;A</oddFooter>
  </headerFooter>
  <drawing r:id="rId3"/>
  <legacyDrawing r:id="rId2"/>
  <oleObjects>
    <oleObject progId="MSPhotoEd.3" shapeId="1728240" r:id="rId1"/>
  </oleObjects>
</worksheet>
</file>

<file path=xl/worksheets/sheet4.xml><?xml version="1.0" encoding="utf-8"?>
<worksheet xmlns="http://schemas.openxmlformats.org/spreadsheetml/2006/main" xmlns:r="http://schemas.openxmlformats.org/officeDocument/2006/relationships">
  <sheetPr codeName="Sheet3"/>
  <dimension ref="B1:O33"/>
  <sheetViews>
    <sheetView zoomScalePageLayoutView="0" workbookViewId="0" topLeftCell="A1">
      <selection activeCell="A1" sqref="A1"/>
    </sheetView>
  </sheetViews>
  <sheetFormatPr defaultColWidth="9.140625" defaultRowHeight="12.75"/>
  <cols>
    <col min="1" max="1" width="1.8515625" style="0" customWidth="1"/>
    <col min="3" max="3" width="5.7109375" style="0" customWidth="1"/>
    <col min="4" max="4" width="6.00390625" style="0" customWidth="1"/>
    <col min="5" max="5" width="9.8515625" style="0" bestFit="1" customWidth="1"/>
    <col min="6" max="6" width="10.8515625" style="0" customWidth="1"/>
    <col min="7" max="7" width="14.421875" style="0" customWidth="1"/>
    <col min="8" max="8" width="28.28125" style="0" customWidth="1"/>
    <col min="9" max="9" width="14.7109375" style="0" customWidth="1"/>
    <col min="10" max="10" width="11.28125" style="0" customWidth="1"/>
  </cols>
  <sheetData>
    <row r="1" spans="5:9" ht="12" customHeight="1" thickBot="1">
      <c r="E1" s="1"/>
      <c r="F1" s="2"/>
      <c r="G1" s="2"/>
      <c r="H1" s="2"/>
      <c r="I1" s="2"/>
    </row>
    <row r="2" spans="5:10" ht="24" thickBot="1">
      <c r="E2" s="11" t="s">
        <v>27</v>
      </c>
      <c r="F2" s="12"/>
      <c r="G2" s="12"/>
      <c r="H2" s="13"/>
      <c r="I2" s="13"/>
      <c r="J2" s="14"/>
    </row>
    <row r="3" spans="5:10" ht="23.25">
      <c r="E3" s="15"/>
      <c r="F3" s="16"/>
      <c r="G3" s="16"/>
      <c r="H3" s="17"/>
      <c r="I3" s="17"/>
      <c r="J3" s="18"/>
    </row>
    <row r="4" spans="5:10" ht="12.75">
      <c r="E4" s="6"/>
      <c r="G4" s="8" t="s">
        <v>0</v>
      </c>
      <c r="H4" s="63" t="e">
        <f>'Allow SF'!H4</f>
        <v>#N/A</v>
      </c>
      <c r="I4" s="63"/>
      <c r="J4" s="64"/>
    </row>
    <row r="5" spans="5:10" ht="12.75">
      <c r="E5" s="6"/>
      <c r="G5" s="8" t="s">
        <v>1</v>
      </c>
      <c r="H5" s="63">
        <f>'Allow SF'!H5</f>
        <v>0</v>
      </c>
      <c r="I5" s="63"/>
      <c r="J5" s="65"/>
    </row>
    <row r="6" spans="5:10" ht="12.75">
      <c r="E6" s="6"/>
      <c r="G6" s="8" t="s">
        <v>4</v>
      </c>
      <c r="H6" s="66" t="str">
        <f>'Allow SF'!H6</f>
        <v>20-xxx</v>
      </c>
      <c r="I6" s="66"/>
      <c r="J6" s="65"/>
    </row>
    <row r="7" spans="5:10" ht="12.75">
      <c r="E7" s="6"/>
      <c r="G7" s="8" t="s">
        <v>2</v>
      </c>
      <c r="H7" s="197" t="str">
        <f>ADM!C9</f>
        <v>K-12</v>
      </c>
      <c r="I7" s="67"/>
      <c r="J7" s="68"/>
    </row>
    <row r="8" spans="5:10" ht="12.75">
      <c r="E8" s="6"/>
      <c r="G8" s="8"/>
      <c r="H8" s="50"/>
      <c r="I8" s="50"/>
      <c r="J8" s="40"/>
    </row>
    <row r="9" spans="5:10" ht="13.5" thickBot="1">
      <c r="E9" s="7"/>
      <c r="F9" s="4"/>
      <c r="G9" s="4"/>
      <c r="H9" s="4"/>
      <c r="I9" s="4"/>
      <c r="J9" s="5"/>
    </row>
    <row r="10" spans="5:10" ht="13.5" thickBot="1">
      <c r="E10" s="3"/>
      <c r="J10" s="3"/>
    </row>
    <row r="11" spans="4:10" s="21" customFormat="1" ht="12.75">
      <c r="D11" s="22"/>
      <c r="E11" s="30"/>
      <c r="F11" s="23"/>
      <c r="G11" s="23"/>
      <c r="H11" s="23"/>
      <c r="I11" s="23"/>
      <c r="J11" s="35"/>
    </row>
    <row r="12" spans="5:10" s="21" customFormat="1" ht="12.75">
      <c r="E12" s="31"/>
      <c r="F12" s="24"/>
      <c r="G12" s="24"/>
      <c r="H12" s="24"/>
      <c r="I12" s="24"/>
      <c r="J12" s="36"/>
    </row>
    <row r="13" spans="5:10" s="21" customFormat="1" ht="12.75">
      <c r="E13" s="32"/>
      <c r="F13" s="24"/>
      <c r="G13" s="8" t="s">
        <v>3</v>
      </c>
      <c r="I13" s="196" t="e">
        <f>'Allow SF'!I13</f>
        <v>#N/A</v>
      </c>
      <c r="J13" s="37"/>
    </row>
    <row r="14" spans="5:10" s="21" customFormat="1" ht="12.75">
      <c r="E14" s="32"/>
      <c r="F14" s="24"/>
      <c r="G14" s="8" t="s">
        <v>12</v>
      </c>
      <c r="I14" s="196" t="e">
        <f>'Allow SF'!I14</f>
        <v>#N/A</v>
      </c>
      <c r="J14" s="37"/>
    </row>
    <row r="15" spans="5:10" s="21" customFormat="1" ht="12.75">
      <c r="E15" s="32"/>
      <c r="F15" s="24"/>
      <c r="G15" s="8" t="s">
        <v>16</v>
      </c>
      <c r="I15" s="198">
        <f>'Allow SF'!I15</f>
        <v>0</v>
      </c>
      <c r="J15" s="37"/>
    </row>
    <row r="16" spans="2:10" s="21" customFormat="1" ht="12.75">
      <c r="B16" s="25"/>
      <c r="E16" s="33"/>
      <c r="F16" s="28"/>
      <c r="J16" s="38"/>
    </row>
    <row r="17" spans="2:10" s="21" customFormat="1" ht="12.75">
      <c r="B17" s="25"/>
      <c r="E17" s="33"/>
      <c r="F17" s="28"/>
      <c r="J17" s="38"/>
    </row>
    <row r="18" spans="2:10" s="21" customFormat="1" ht="12.75">
      <c r="B18" s="25"/>
      <c r="E18" s="33"/>
      <c r="F18" s="28"/>
      <c r="G18" s="42" t="s">
        <v>19</v>
      </c>
      <c r="I18" s="61"/>
      <c r="J18" s="38"/>
    </row>
    <row r="19" spans="2:15" s="21" customFormat="1" ht="12.75">
      <c r="B19" s="25"/>
      <c r="E19" s="33"/>
      <c r="F19" s="28"/>
      <c r="G19" s="42" t="s">
        <v>20</v>
      </c>
      <c r="I19" s="199" t="str">
        <f>IF(EXSF=0," ",IF(TYPE="Elementary",0,IF(TYPE="Secondary",O19,EADM*csadm/ceadm)))</f>
        <v> </v>
      </c>
      <c r="J19" s="38"/>
      <c r="O19" s="62"/>
    </row>
    <row r="20" spans="2:10" s="21" customFormat="1" ht="12.75">
      <c r="B20" s="25"/>
      <c r="E20" s="33"/>
      <c r="F20" s="28"/>
      <c r="G20" s="42" t="s">
        <v>22</v>
      </c>
      <c r="I20" s="200" t="e">
        <f>IF($H$7="Elementary",114*I18,IF($H$7="Secondary",I19*165,IF($H$7="K-12",I18*114+I19*165,IF($H$7="Mixed Grade",I18*114+I19*165,IF($H$7="Secondary+6",(I18+I19)*165," ")))))</f>
        <v>#VALUE!</v>
      </c>
      <c r="J20" s="38"/>
    </row>
    <row r="21" spans="2:10" s="21" customFormat="1" ht="12.75">
      <c r="B21" s="25"/>
      <c r="E21" s="33"/>
      <c r="F21" s="28"/>
      <c r="G21" s="42" t="s">
        <v>23</v>
      </c>
      <c r="I21" s="200" t="e">
        <f>IF($H$7="Elementary",I18*130*10^(-I18/250),IF($H$7="Secondary",I19*300*10^(-I19/300),IF($H$7="K-12",(I18+I19)*213*10^(-(I18+I19)/483),IF($H$7="Mixed Grade",(I18+I19)*250*10^(-(I18+I19)/250),IF($H$7="Secondary+6",(I18+I19)*250*10^(-(I18+I19)/250)," ")))))</f>
        <v>#VALUE!</v>
      </c>
      <c r="J21" s="38"/>
    </row>
    <row r="22" spans="2:10" s="21" customFormat="1" ht="12.75">
      <c r="B22" s="25"/>
      <c r="E22" s="33"/>
      <c r="F22" s="28"/>
      <c r="G22" s="42" t="s">
        <v>21</v>
      </c>
      <c r="I22" s="200" t="str">
        <f>IF(EXSF=0," ",I20+I21)</f>
        <v> </v>
      </c>
      <c r="J22" s="38"/>
    </row>
    <row r="23" spans="2:10" s="21" customFormat="1" ht="12.75">
      <c r="B23" s="25"/>
      <c r="E23" s="33"/>
      <c r="F23" s="28"/>
      <c r="G23" s="42"/>
      <c r="I23" s="200"/>
      <c r="J23" s="38"/>
    </row>
    <row r="24" spans="2:10" s="21" customFormat="1" ht="12.75">
      <c r="B24" s="25"/>
      <c r="E24" s="33"/>
      <c r="F24" s="28"/>
      <c r="G24" s="42" t="s">
        <v>18</v>
      </c>
      <c r="I24" s="199" t="str">
        <f>IF(EXSF=0," ",IF(H7="Elementary",I13-I18,IF(H7="Secondary",I14-I19,(I13+I14)-(I18+I19))))</f>
        <v> </v>
      </c>
      <c r="J24" s="38"/>
    </row>
    <row r="25" spans="2:10" s="21" customFormat="1" ht="12.75">
      <c r="B25" s="25"/>
      <c r="E25" s="33"/>
      <c r="F25" s="28"/>
      <c r="G25" s="42"/>
      <c r="I25" s="200"/>
      <c r="J25" s="38"/>
    </row>
    <row r="26" spans="2:10" s="44" customFormat="1" ht="24.75" customHeight="1">
      <c r="B26" s="43"/>
      <c r="E26" s="45"/>
      <c r="F26" s="46"/>
      <c r="G26" s="47" t="s">
        <v>26</v>
      </c>
      <c r="I26" s="201" t="str">
        <f>IF(EXSF=0," ",IF(TYPE="Elementary",ceadm/EADM,IF(TYPE="Secondary",csadm/SADM,(I13+I14)/(EADM+SADM))))</f>
        <v> </v>
      </c>
      <c r="J26" s="49"/>
    </row>
    <row r="27" spans="2:10" s="21" customFormat="1" ht="12.75">
      <c r="B27" s="25"/>
      <c r="E27" s="33"/>
      <c r="F27" s="26"/>
      <c r="J27" s="38"/>
    </row>
    <row r="28" spans="2:10" s="21" customFormat="1" ht="12.75">
      <c r="B28" s="25"/>
      <c r="E28" s="33"/>
      <c r="F28" s="26"/>
      <c r="J28" s="38"/>
    </row>
    <row r="29" spans="5:10" s="21" customFormat="1" ht="12.75">
      <c r="E29" s="34"/>
      <c r="J29" s="39"/>
    </row>
    <row r="30" spans="5:10" s="21" customFormat="1" ht="12.75">
      <c r="E30" s="34"/>
      <c r="J30" s="39"/>
    </row>
    <row r="31" spans="5:10" s="21" customFormat="1" ht="12.75">
      <c r="E31" s="34"/>
      <c r="J31" s="39"/>
    </row>
    <row r="32" spans="5:10" s="21" customFormat="1" ht="12.75">
      <c r="E32" s="34"/>
      <c r="J32" s="39"/>
    </row>
    <row r="33" spans="5:10" ht="13.5" thickBot="1">
      <c r="E33" s="9"/>
      <c r="F33" s="10"/>
      <c r="G33" s="10"/>
      <c r="H33" s="10"/>
      <c r="I33" s="10"/>
      <c r="J33" s="29"/>
    </row>
  </sheetData>
  <sheetProtection sheet="1"/>
  <printOptions gridLines="1" horizontalCentered="1" verticalCentered="1"/>
  <pageMargins left="0.26" right="0.26" top="0.5" bottom="1" header="0.5" footer="0.5"/>
  <pageSetup horizontalDpi="300" verticalDpi="300" orientation="portrait" r:id="rId4"/>
  <headerFooter alignWithMargins="0">
    <oddFooter>&amp;L&amp;9Printed:  &amp;D&amp;CFile Name:  &amp;F&amp;R&amp;9Worksheet:  &amp;A</oddFooter>
  </headerFooter>
  <drawing r:id="rId3"/>
  <legacyDrawing r:id="rId2"/>
  <oleObjects>
    <oleObject progId="MSPhotoEd.3" shapeId="553516" r:id="rId1"/>
  </oleObjects>
</worksheet>
</file>

<file path=xl/worksheets/sheet5.xml><?xml version="1.0" encoding="utf-8"?>
<worksheet xmlns="http://schemas.openxmlformats.org/spreadsheetml/2006/main" xmlns:r="http://schemas.openxmlformats.org/officeDocument/2006/relationships">
  <sheetPr codeName="Sheet5"/>
  <dimension ref="A1:N656"/>
  <sheetViews>
    <sheetView zoomScalePageLayoutView="0" workbookViewId="0" topLeftCell="A1">
      <selection activeCell="A5" sqref="A5"/>
    </sheetView>
  </sheetViews>
  <sheetFormatPr defaultColWidth="9.140625" defaultRowHeight="12.75"/>
  <cols>
    <col min="1" max="1" width="7.57421875" style="204" customWidth="1"/>
    <col min="2" max="2" width="40.7109375" style="204" customWidth="1"/>
    <col min="3" max="4" width="9.140625" style="204" customWidth="1"/>
    <col min="5" max="5" width="11.00390625" style="204" customWidth="1"/>
    <col min="6" max="6" width="3.140625" style="204" customWidth="1"/>
    <col min="7" max="7" width="16.57421875" style="204" bestFit="1" customWidth="1"/>
    <col min="8" max="8" width="20.8515625" style="204" customWidth="1"/>
    <col min="9" max="10" width="9.140625" style="204" hidden="1" customWidth="1"/>
    <col min="11" max="11" width="9.140625" style="399" customWidth="1"/>
    <col min="12" max="12" width="15.140625" style="204" bestFit="1" customWidth="1"/>
    <col min="13" max="16384" width="9.140625" style="416" customWidth="1"/>
  </cols>
  <sheetData>
    <row r="1" spans="1:5" ht="12.75">
      <c r="A1" s="404" t="s">
        <v>1204</v>
      </c>
      <c r="B1" s="202"/>
      <c r="C1" s="203"/>
      <c r="D1" s="338"/>
      <c r="E1" s="422" t="s">
        <v>1224</v>
      </c>
    </row>
    <row r="2" spans="1:5" ht="22.5">
      <c r="A2" s="463" t="s">
        <v>1262</v>
      </c>
      <c r="B2" s="464"/>
      <c r="C2" s="465"/>
      <c r="D2" s="465"/>
      <c r="E2" s="465"/>
    </row>
    <row r="3" spans="1:5" ht="12.75">
      <c r="A3" s="339" t="s">
        <v>1263</v>
      </c>
      <c r="B3" s="202"/>
      <c r="C3" s="203"/>
      <c r="D3" s="205"/>
      <c r="E3" s="206"/>
    </row>
    <row r="4" spans="1:7" ht="7.5" customHeight="1">
      <c r="A4" s="466"/>
      <c r="B4" s="466"/>
      <c r="C4" s="390"/>
      <c r="D4" s="391"/>
      <c r="E4" s="392"/>
      <c r="G4" s="173"/>
    </row>
    <row r="5" spans="1:5" ht="3.75" customHeight="1">
      <c r="A5" s="339"/>
      <c r="B5" s="354"/>
      <c r="C5" s="467"/>
      <c r="D5" s="467"/>
      <c r="E5" s="403"/>
    </row>
    <row r="6" spans="1:5" ht="13.5" thickBot="1">
      <c r="A6" s="405" t="s">
        <v>379</v>
      </c>
      <c r="B6" s="406" t="s">
        <v>1202</v>
      </c>
      <c r="C6" s="407" t="s">
        <v>1234</v>
      </c>
      <c r="D6" s="411" t="s">
        <v>377</v>
      </c>
      <c r="E6" s="407" t="s">
        <v>1203</v>
      </c>
    </row>
    <row r="7" spans="1:12" ht="14.25" thickBot="1" thickTop="1">
      <c r="A7" s="393"/>
      <c r="B7" s="393"/>
      <c r="G7" s="207" t="s">
        <v>375</v>
      </c>
      <c r="H7" s="207" t="s">
        <v>375</v>
      </c>
      <c r="I7" s="208" t="s">
        <v>376</v>
      </c>
      <c r="J7" s="209" t="s">
        <v>377</v>
      </c>
      <c r="K7" s="400" t="s">
        <v>378</v>
      </c>
      <c r="L7" s="210" t="s">
        <v>379</v>
      </c>
    </row>
    <row r="8" spans="1:5" ht="12.75">
      <c r="A8" s="174" t="s">
        <v>380</v>
      </c>
      <c r="B8" s="174"/>
      <c r="C8" s="340"/>
      <c r="D8" s="340"/>
      <c r="E8" s="340"/>
    </row>
    <row r="9" spans="1:12" ht="12.75">
      <c r="A9" s="376"/>
      <c r="B9" s="377" t="s">
        <v>63</v>
      </c>
      <c r="C9" s="456">
        <v>7</v>
      </c>
      <c r="D9" s="378">
        <v>3</v>
      </c>
      <c r="E9" s="430">
        <f aca="true" t="shared" si="0" ref="E9:E15">IF((C9+D9=0),"",C9+D9)</f>
        <v>10</v>
      </c>
      <c r="F9" s="173"/>
      <c r="G9" s="173" t="s">
        <v>381</v>
      </c>
      <c r="H9" s="173" t="s">
        <v>381</v>
      </c>
      <c r="I9" s="211">
        <f aca="true" t="shared" si="1" ref="I9:I15">SUMIF($G$9:$G$647,H9,$C$9:$C$647)</f>
        <v>7</v>
      </c>
      <c r="J9" s="211">
        <f aca="true" t="shared" si="2" ref="J9:J15">SUMIF($G$9:$G$647,H9,$D$9:$D$647)</f>
        <v>3</v>
      </c>
      <c r="K9" s="401">
        <f>SUM(I9:J9)</f>
        <v>10</v>
      </c>
      <c r="L9" s="173" t="s">
        <v>382</v>
      </c>
    </row>
    <row r="10" spans="1:12" ht="12.75">
      <c r="A10" s="376"/>
      <c r="B10" s="377" t="s">
        <v>64</v>
      </c>
      <c r="C10" s="378">
        <v>13</v>
      </c>
      <c r="D10" s="378">
        <v>13.1</v>
      </c>
      <c r="E10" s="430">
        <f t="shared" si="0"/>
        <v>26.1</v>
      </c>
      <c r="F10" s="173"/>
      <c r="G10" s="173" t="s">
        <v>383</v>
      </c>
      <c r="H10" s="173" t="s">
        <v>383</v>
      </c>
      <c r="I10" s="211">
        <f t="shared" si="1"/>
        <v>13</v>
      </c>
      <c r="J10" s="211">
        <f t="shared" si="2"/>
        <v>13.1</v>
      </c>
      <c r="K10" s="401">
        <f>SUM(I10:J10)</f>
        <v>26.1</v>
      </c>
      <c r="L10" s="173" t="s">
        <v>382</v>
      </c>
    </row>
    <row r="11" spans="1:12" ht="12.75">
      <c r="A11" s="376"/>
      <c r="B11" s="377" t="s">
        <v>65</v>
      </c>
      <c r="C11" s="378">
        <v>19</v>
      </c>
      <c r="D11" s="378">
        <f>12.65-0.4</f>
        <v>12.25</v>
      </c>
      <c r="E11" s="430">
        <f t="shared" si="0"/>
        <v>31.25</v>
      </c>
      <c r="F11" s="173"/>
      <c r="G11" s="173" t="s">
        <v>384</v>
      </c>
      <c r="H11" s="173" t="s">
        <v>384</v>
      </c>
      <c r="I11" s="211">
        <f t="shared" si="1"/>
        <v>19</v>
      </c>
      <c r="J11" s="211">
        <f t="shared" si="2"/>
        <v>12.25</v>
      </c>
      <c r="K11" s="401">
        <f>SUM(I11:J11)</f>
        <v>31.25</v>
      </c>
      <c r="L11" s="173" t="s">
        <v>382</v>
      </c>
    </row>
    <row r="12" spans="1:12" ht="12.75">
      <c r="A12" s="376"/>
      <c r="B12" s="377" t="s">
        <v>66</v>
      </c>
      <c r="C12" s="378">
        <v>9.8</v>
      </c>
      <c r="D12" s="378">
        <v>2</v>
      </c>
      <c r="E12" s="430">
        <f t="shared" si="0"/>
        <v>11.8</v>
      </c>
      <c r="F12" s="173"/>
      <c r="G12" s="173" t="s">
        <v>386</v>
      </c>
      <c r="H12" s="204" t="s">
        <v>385</v>
      </c>
      <c r="I12" s="211">
        <f t="shared" si="1"/>
        <v>29</v>
      </c>
      <c r="J12" s="211">
        <f t="shared" si="2"/>
        <v>18</v>
      </c>
      <c r="K12" s="401">
        <f aca="true" t="shared" si="3" ref="K12:K73">SUM(I12:J12)</f>
        <v>47</v>
      </c>
      <c r="L12" s="173" t="s">
        <v>382</v>
      </c>
    </row>
    <row r="13" spans="1:12" ht="12.75">
      <c r="A13" s="376"/>
      <c r="B13" s="377" t="s">
        <v>67</v>
      </c>
      <c r="C13" s="378">
        <v>17</v>
      </c>
      <c r="D13" s="378">
        <v>6</v>
      </c>
      <c r="E13" s="430">
        <f t="shared" si="0"/>
        <v>23</v>
      </c>
      <c r="F13" s="173"/>
      <c r="G13" s="173" t="s">
        <v>387</v>
      </c>
      <c r="H13" s="173" t="s">
        <v>386</v>
      </c>
      <c r="I13" s="211">
        <f t="shared" si="1"/>
        <v>9.8</v>
      </c>
      <c r="J13" s="211">
        <f t="shared" si="2"/>
        <v>2</v>
      </c>
      <c r="K13" s="401">
        <f t="shared" si="3"/>
        <v>11.8</v>
      </c>
      <c r="L13" s="173" t="s">
        <v>382</v>
      </c>
    </row>
    <row r="14" spans="1:12" ht="12.75">
      <c r="A14" s="376"/>
      <c r="B14" s="377" t="s">
        <v>68</v>
      </c>
      <c r="C14" s="378">
        <v>105.15</v>
      </c>
      <c r="D14" s="378">
        <f>94-1.75</f>
        <v>92.25</v>
      </c>
      <c r="E14" s="430">
        <f t="shared" si="0"/>
        <v>197.4</v>
      </c>
      <c r="F14" s="173"/>
      <c r="G14" s="173" t="s">
        <v>388</v>
      </c>
      <c r="H14" s="173" t="s">
        <v>387</v>
      </c>
      <c r="I14" s="211">
        <f t="shared" si="1"/>
        <v>17</v>
      </c>
      <c r="J14" s="211">
        <f t="shared" si="2"/>
        <v>6</v>
      </c>
      <c r="K14" s="401">
        <f t="shared" si="3"/>
        <v>23</v>
      </c>
      <c r="L14" s="173" t="s">
        <v>382</v>
      </c>
    </row>
    <row r="15" spans="1:12" ht="12.75">
      <c r="A15" s="376"/>
      <c r="B15" s="377" t="s">
        <v>69</v>
      </c>
      <c r="C15" s="378">
        <v>29</v>
      </c>
      <c r="D15" s="378">
        <v>18</v>
      </c>
      <c r="E15" s="430">
        <f t="shared" si="0"/>
        <v>47</v>
      </c>
      <c r="F15" s="173"/>
      <c r="G15" s="204" t="s">
        <v>385</v>
      </c>
      <c r="H15" s="173" t="s">
        <v>388</v>
      </c>
      <c r="I15" s="211">
        <f t="shared" si="1"/>
        <v>105.15</v>
      </c>
      <c r="J15" s="211">
        <f t="shared" si="2"/>
        <v>92.25</v>
      </c>
      <c r="K15" s="401">
        <f t="shared" si="3"/>
        <v>197.4</v>
      </c>
      <c r="L15" s="173" t="s">
        <v>382</v>
      </c>
    </row>
    <row r="16" spans="1:12" ht="12.75">
      <c r="A16" s="174"/>
      <c r="B16" s="377" t="s">
        <v>389</v>
      </c>
      <c r="C16" s="378">
        <f>SUM(C9:C15)</f>
        <v>199.95</v>
      </c>
      <c r="D16" s="378">
        <f>SUM(D9:D15)</f>
        <v>146.6</v>
      </c>
      <c r="E16" s="378">
        <f>SUM(E9:E15)</f>
        <v>346.55</v>
      </c>
      <c r="F16" s="173"/>
      <c r="G16" s="173"/>
      <c r="H16" s="436"/>
      <c r="I16" s="437"/>
      <c r="J16" s="437"/>
      <c r="K16" s="438">
        <f>SUM(K9:K15)</f>
        <v>346.54999999999995</v>
      </c>
      <c r="L16" s="436"/>
    </row>
    <row r="17" spans="1:11" ht="12.75">
      <c r="A17" s="339"/>
      <c r="B17" s="172"/>
      <c r="C17" s="341"/>
      <c r="D17" s="341"/>
      <c r="E17" s="341"/>
      <c r="F17" s="173"/>
      <c r="H17" s="173"/>
      <c r="I17" s="211"/>
      <c r="J17" s="211"/>
      <c r="K17" s="401"/>
    </row>
    <row r="18" spans="1:12" ht="12.75">
      <c r="A18" s="417" t="s">
        <v>390</v>
      </c>
      <c r="B18" s="418"/>
      <c r="C18" s="342"/>
      <c r="D18" s="338"/>
      <c r="E18" s="338"/>
      <c r="F18" s="173"/>
      <c r="G18" s="173"/>
      <c r="H18" s="173"/>
      <c r="I18" s="211"/>
      <c r="J18" s="211"/>
      <c r="K18" s="401"/>
      <c r="L18" s="173"/>
    </row>
    <row r="19" spans="1:12" ht="12.75">
      <c r="A19" s="380"/>
      <c r="B19" s="361" t="s">
        <v>70</v>
      </c>
      <c r="C19" s="457">
        <v>10.55</v>
      </c>
      <c r="D19" s="457">
        <v>4</v>
      </c>
      <c r="E19" s="432">
        <f>IF((C19+D19=0),"",C19+D19)</f>
        <v>14.55</v>
      </c>
      <c r="F19" s="173"/>
      <c r="G19" s="173" t="s">
        <v>391</v>
      </c>
      <c r="H19" s="173" t="s">
        <v>391</v>
      </c>
      <c r="I19" s="211">
        <f>SUMIF($G$9:$G$647,H19,$C$9:$C$647)</f>
        <v>10.55</v>
      </c>
      <c r="J19" s="211">
        <f>SUMIF($G$9:$G$647,H19,$D$9:$D$647)</f>
        <v>4</v>
      </c>
      <c r="K19" s="401">
        <f t="shared" si="3"/>
        <v>14.55</v>
      </c>
      <c r="L19" s="173" t="s">
        <v>392</v>
      </c>
    </row>
    <row r="20" spans="1:12" ht="12.75">
      <c r="A20" s="380"/>
      <c r="B20" s="361" t="s">
        <v>1173</v>
      </c>
      <c r="C20" s="457">
        <v>7</v>
      </c>
      <c r="D20" s="457">
        <v>5</v>
      </c>
      <c r="E20" s="432">
        <f>IF((C20+D20=0),"",C20+D20)</f>
        <v>12</v>
      </c>
      <c r="F20" s="173"/>
      <c r="G20" s="173" t="s">
        <v>393</v>
      </c>
      <c r="H20" s="173" t="s">
        <v>393</v>
      </c>
      <c r="I20" s="211">
        <f>SUMIF($G$9:$G$647,H20,$C$9:$C$647)</f>
        <v>7</v>
      </c>
      <c r="J20" s="211">
        <f>SUMIF($G$9:$G$647,H20,$D$9:$D$647)</f>
        <v>5</v>
      </c>
      <c r="K20" s="401">
        <f t="shared" si="3"/>
        <v>12</v>
      </c>
      <c r="L20" s="173" t="s">
        <v>392</v>
      </c>
    </row>
    <row r="21" spans="1:12" ht="12.75">
      <c r="A21" s="339"/>
      <c r="B21" s="361" t="s">
        <v>389</v>
      </c>
      <c r="C21" s="381">
        <f>SUM(C19:C20)</f>
        <v>17.55</v>
      </c>
      <c r="D21" s="381">
        <f>SUM(D19:D20)</f>
        <v>9</v>
      </c>
      <c r="E21" s="381">
        <f>SUM(E19:E20)</f>
        <v>26.55</v>
      </c>
      <c r="F21" s="173"/>
      <c r="H21" s="436"/>
      <c r="I21" s="437"/>
      <c r="J21" s="437"/>
      <c r="K21" s="438">
        <f>SUM(K19:K20)</f>
        <v>26.55</v>
      </c>
      <c r="L21" s="436"/>
    </row>
    <row r="22" spans="1:11" ht="12.75">
      <c r="A22" s="339"/>
      <c r="B22" s="343"/>
      <c r="C22" s="344"/>
      <c r="D22" s="344"/>
      <c r="E22" s="345"/>
      <c r="F22" s="173"/>
      <c r="H22" s="173"/>
      <c r="I22" s="211"/>
      <c r="J22" s="211"/>
      <c r="K22" s="401"/>
    </row>
    <row r="23" spans="1:12" ht="12.75">
      <c r="A23" s="339" t="s">
        <v>394</v>
      </c>
      <c r="B23" s="172"/>
      <c r="C23" s="342"/>
      <c r="D23" s="338"/>
      <c r="E23" s="338"/>
      <c r="F23" s="173"/>
      <c r="G23" s="173"/>
      <c r="H23" s="173"/>
      <c r="I23" s="211"/>
      <c r="J23" s="211"/>
      <c r="K23" s="401"/>
      <c r="L23" s="173"/>
    </row>
    <row r="24" spans="1:12" ht="12.75">
      <c r="A24" s="380"/>
      <c r="B24" s="361" t="s">
        <v>71</v>
      </c>
      <c r="C24" s="457">
        <f>11-1</f>
        <v>10</v>
      </c>
      <c r="D24" s="457">
        <v>2</v>
      </c>
      <c r="E24" s="430">
        <f>IF((C24+D24=0),"",C24+D24)</f>
        <v>12</v>
      </c>
      <c r="F24" s="173"/>
      <c r="G24" s="173" t="s">
        <v>395</v>
      </c>
      <c r="H24" s="173" t="s">
        <v>395</v>
      </c>
      <c r="I24" s="211">
        <f>SUMIF($G$9:$G$647,H24,$C$9:$C$647)</f>
        <v>10</v>
      </c>
      <c r="J24" s="211">
        <f>SUMIF($G$9:$G$647,H24,$D$9:$D$647)</f>
        <v>2</v>
      </c>
      <c r="K24" s="401">
        <f t="shared" si="3"/>
        <v>12</v>
      </c>
      <c r="L24" s="173" t="s">
        <v>396</v>
      </c>
    </row>
    <row r="25" spans="1:12" ht="12.75">
      <c r="A25" s="380"/>
      <c r="B25" s="361" t="s">
        <v>72</v>
      </c>
      <c r="C25" s="457">
        <v>3</v>
      </c>
      <c r="D25" s="457">
        <v>3</v>
      </c>
      <c r="E25" s="430">
        <f>IF((C25+D25=0),"",C25+D25)</f>
        <v>6</v>
      </c>
      <c r="F25" s="173"/>
      <c r="G25" s="173" t="s">
        <v>397</v>
      </c>
      <c r="H25" s="173" t="s">
        <v>397</v>
      </c>
      <c r="I25" s="211">
        <f>SUMIF($G$9:$G$647,H25,$C$9:$C$647)</f>
        <v>3</v>
      </c>
      <c r="J25" s="211">
        <f>SUMIF($G$9:$G$647,H25,$D$9:$D$647)</f>
        <v>3</v>
      </c>
      <c r="K25" s="401">
        <f t="shared" si="3"/>
        <v>6</v>
      </c>
      <c r="L25" s="173" t="s">
        <v>396</v>
      </c>
    </row>
    <row r="26" spans="1:12" ht="12.75">
      <c r="A26" s="380"/>
      <c r="B26" s="361" t="s">
        <v>73</v>
      </c>
      <c r="C26" s="457">
        <v>45</v>
      </c>
      <c r="D26" s="457">
        <v>38</v>
      </c>
      <c r="E26" s="430">
        <f>IF((C26+D26=0),"",C26+D26)</f>
        <v>83</v>
      </c>
      <c r="F26" s="173"/>
      <c r="G26" s="173" t="s">
        <v>398</v>
      </c>
      <c r="H26" s="173" t="s">
        <v>398</v>
      </c>
      <c r="I26" s="211">
        <f>SUMIF($G$9:$G$647,H26,$C$9:$C$647)</f>
        <v>45</v>
      </c>
      <c r="J26" s="211">
        <f>SUMIF($G$9:$G$647,H26,$D$9:$D$647)</f>
        <v>38</v>
      </c>
      <c r="K26" s="401">
        <f t="shared" si="3"/>
        <v>83</v>
      </c>
      <c r="L26" s="173" t="s">
        <v>396</v>
      </c>
    </row>
    <row r="27" spans="1:12" ht="12.75">
      <c r="A27" s="380"/>
      <c r="B27" s="361" t="s">
        <v>74</v>
      </c>
      <c r="C27" s="457">
        <v>62</v>
      </c>
      <c r="D27" s="457">
        <v>44</v>
      </c>
      <c r="E27" s="430">
        <f>IF((C27+D27=0),"",C27+D27)</f>
        <v>106</v>
      </c>
      <c r="F27" s="173"/>
      <c r="G27" s="173" t="s">
        <v>399</v>
      </c>
      <c r="H27" s="173" t="s">
        <v>399</v>
      </c>
      <c r="I27" s="211">
        <f>SUMIF($G$9:$G$647,H27,$C$9:$C$647)</f>
        <v>62</v>
      </c>
      <c r="J27" s="211">
        <f>SUMIF($G$9:$G$647,H27,$D$9:$D$647)</f>
        <v>44</v>
      </c>
      <c r="K27" s="401">
        <f t="shared" si="3"/>
        <v>106</v>
      </c>
      <c r="L27" s="173" t="s">
        <v>396</v>
      </c>
    </row>
    <row r="28" spans="1:12" ht="12.75">
      <c r="A28" s="339"/>
      <c r="B28" s="361" t="s">
        <v>389</v>
      </c>
      <c r="C28" s="381">
        <f>SUM(C24:C27)</f>
        <v>120</v>
      </c>
      <c r="D28" s="381">
        <f>SUM(D24:D27)</f>
        <v>87</v>
      </c>
      <c r="E28" s="381">
        <f>SUM(E24:E27)</f>
        <v>207</v>
      </c>
      <c r="F28" s="173"/>
      <c r="H28" s="436"/>
      <c r="I28" s="437"/>
      <c r="J28" s="437"/>
      <c r="K28" s="438">
        <f>SUM(K24:K27)</f>
        <v>207</v>
      </c>
      <c r="L28" s="436"/>
    </row>
    <row r="29" spans="1:11" ht="12.75">
      <c r="A29" s="339"/>
      <c r="B29" s="172"/>
      <c r="C29" s="342"/>
      <c r="D29" s="342"/>
      <c r="E29" s="342"/>
      <c r="F29" s="173"/>
      <c r="H29" s="173"/>
      <c r="I29" s="211"/>
      <c r="J29" s="211"/>
      <c r="K29" s="401"/>
    </row>
    <row r="30" spans="1:12" ht="12.75">
      <c r="A30" s="339" t="s">
        <v>400</v>
      </c>
      <c r="B30" s="172"/>
      <c r="C30" s="342"/>
      <c r="D30" s="338"/>
      <c r="E30" s="338"/>
      <c r="F30" s="173"/>
      <c r="G30" s="173"/>
      <c r="H30" s="173"/>
      <c r="I30" s="211"/>
      <c r="J30" s="211"/>
      <c r="K30" s="401"/>
      <c r="L30" s="173"/>
    </row>
    <row r="31" spans="1:12" ht="12.75">
      <c r="A31" s="380"/>
      <c r="B31" s="361" t="s">
        <v>75</v>
      </c>
      <c r="C31" s="457">
        <f>320.2-0.05</f>
        <v>320.15</v>
      </c>
      <c r="D31" s="431"/>
      <c r="E31" s="385">
        <f aca="true" t="shared" si="4" ref="E31:E94">IF((C31+D31=0),"",C31+D31)</f>
        <v>320.15</v>
      </c>
      <c r="F31" s="173"/>
      <c r="G31" s="173" t="s">
        <v>401</v>
      </c>
      <c r="H31" s="173" t="s">
        <v>401</v>
      </c>
      <c r="I31" s="211">
        <f aca="true" t="shared" si="5" ref="I31:I62">SUMIF($G$9:$G$647,H31,$C$9:$C$647)</f>
        <v>22967.26000000001</v>
      </c>
      <c r="J31" s="211">
        <f aca="true" t="shared" si="6" ref="J31:J62">SUMIF($G$9:$G$647,H31,$D$9:$D$647)</f>
        <v>19200.699999999997</v>
      </c>
      <c r="K31" s="401">
        <f t="shared" si="3"/>
        <v>42167.96000000001</v>
      </c>
      <c r="L31" s="173" t="s">
        <v>401</v>
      </c>
    </row>
    <row r="32" spans="1:12" ht="12.75">
      <c r="A32" s="380"/>
      <c r="B32" s="361" t="s">
        <v>76</v>
      </c>
      <c r="C32" s="457">
        <v>314.8</v>
      </c>
      <c r="D32" s="431"/>
      <c r="E32" s="385">
        <f t="shared" si="4"/>
        <v>314.8</v>
      </c>
      <c r="F32" s="173"/>
      <c r="G32" s="173" t="s">
        <v>401</v>
      </c>
      <c r="H32" s="173" t="s">
        <v>1094</v>
      </c>
      <c r="I32" s="211">
        <f t="shared" si="5"/>
        <v>1500.71</v>
      </c>
      <c r="J32" s="211">
        <f t="shared" si="6"/>
        <v>0</v>
      </c>
      <c r="K32" s="401">
        <f t="shared" si="3"/>
        <v>1500.71</v>
      </c>
      <c r="L32" s="173" t="s">
        <v>401</v>
      </c>
    </row>
    <row r="33" spans="1:12" ht="12.75">
      <c r="A33" s="380"/>
      <c r="B33" s="361" t="s">
        <v>77</v>
      </c>
      <c r="C33" s="457">
        <v>521.5</v>
      </c>
      <c r="D33" s="431"/>
      <c r="E33" s="385">
        <f t="shared" si="4"/>
        <v>521.5</v>
      </c>
      <c r="F33" s="173"/>
      <c r="G33" s="173" t="s">
        <v>401</v>
      </c>
      <c r="H33" s="173" t="s">
        <v>402</v>
      </c>
      <c r="I33" s="211">
        <f t="shared" si="5"/>
        <v>155.34</v>
      </c>
      <c r="J33" s="211">
        <f t="shared" si="6"/>
        <v>38.35</v>
      </c>
      <c r="K33" s="401">
        <f t="shared" si="3"/>
        <v>193.69</v>
      </c>
      <c r="L33" s="173" t="s">
        <v>401</v>
      </c>
    </row>
    <row r="34" spans="1:12" ht="12.75">
      <c r="A34" s="380"/>
      <c r="B34" s="361" t="s">
        <v>78</v>
      </c>
      <c r="C34" s="457">
        <v>209.3</v>
      </c>
      <c r="D34" s="431"/>
      <c r="E34" s="385">
        <f t="shared" si="4"/>
        <v>209.3</v>
      </c>
      <c r="F34" s="173"/>
      <c r="G34" s="173" t="s">
        <v>1094</v>
      </c>
      <c r="I34" s="211">
        <f t="shared" si="5"/>
        <v>0</v>
      </c>
      <c r="J34" s="211">
        <f t="shared" si="6"/>
        <v>0</v>
      </c>
      <c r="K34" s="401">
        <f t="shared" si="3"/>
        <v>0</v>
      </c>
      <c r="L34" s="173" t="s">
        <v>401</v>
      </c>
    </row>
    <row r="35" spans="1:12" ht="12.75">
      <c r="A35" s="380"/>
      <c r="B35" s="361" t="s">
        <v>79</v>
      </c>
      <c r="C35" s="457">
        <v>360.56</v>
      </c>
      <c r="D35" s="431"/>
      <c r="E35" s="385">
        <f t="shared" si="4"/>
        <v>360.56</v>
      </c>
      <c r="F35" s="173"/>
      <c r="G35" s="173" t="s">
        <v>401</v>
      </c>
      <c r="I35" s="211">
        <f t="shared" si="5"/>
        <v>0</v>
      </c>
      <c r="J35" s="211">
        <f t="shared" si="6"/>
        <v>0</v>
      </c>
      <c r="K35" s="401">
        <f t="shared" si="3"/>
        <v>0</v>
      </c>
      <c r="L35" s="173" t="s">
        <v>401</v>
      </c>
    </row>
    <row r="36" spans="1:12" ht="12.75">
      <c r="A36" s="380"/>
      <c r="B36" s="361" t="s">
        <v>80</v>
      </c>
      <c r="C36" s="457">
        <v>463.85</v>
      </c>
      <c r="D36" s="431"/>
      <c r="E36" s="385">
        <f t="shared" si="4"/>
        <v>463.85</v>
      </c>
      <c r="F36" s="173"/>
      <c r="G36" s="173" t="s">
        <v>401</v>
      </c>
      <c r="H36" s="173"/>
      <c r="I36" s="211">
        <f t="shared" si="5"/>
        <v>0</v>
      </c>
      <c r="J36" s="211">
        <f t="shared" si="6"/>
        <v>0</v>
      </c>
      <c r="K36" s="401">
        <f t="shared" si="3"/>
        <v>0</v>
      </c>
      <c r="L36" s="173" t="s">
        <v>401</v>
      </c>
    </row>
    <row r="37" spans="1:12" ht="12.75">
      <c r="A37" s="380"/>
      <c r="B37" s="361" t="s">
        <v>81</v>
      </c>
      <c r="C37" s="457">
        <v>412.8</v>
      </c>
      <c r="D37" s="431"/>
      <c r="E37" s="385">
        <f t="shared" si="4"/>
        <v>412.8</v>
      </c>
      <c r="F37" s="173"/>
      <c r="G37" s="173" t="s">
        <v>401</v>
      </c>
      <c r="H37" s="317" t="s">
        <v>403</v>
      </c>
      <c r="I37" s="211">
        <f t="shared" si="5"/>
        <v>0</v>
      </c>
      <c r="J37" s="211">
        <f t="shared" si="6"/>
        <v>0</v>
      </c>
      <c r="K37" s="401">
        <f t="shared" si="3"/>
        <v>0</v>
      </c>
      <c r="L37" s="173" t="s">
        <v>401</v>
      </c>
    </row>
    <row r="38" spans="1:12" ht="12.75">
      <c r="A38" s="380"/>
      <c r="B38" s="361" t="s">
        <v>1097</v>
      </c>
      <c r="C38" s="457">
        <v>292.45</v>
      </c>
      <c r="D38" s="431"/>
      <c r="E38" s="385">
        <f t="shared" si="4"/>
        <v>292.45</v>
      </c>
      <c r="F38" s="173"/>
      <c r="G38" s="173" t="s">
        <v>401</v>
      </c>
      <c r="H38" s="173"/>
      <c r="I38" s="211">
        <f t="shared" si="5"/>
        <v>0</v>
      </c>
      <c r="J38" s="211">
        <f t="shared" si="6"/>
        <v>0</v>
      </c>
      <c r="K38" s="401">
        <f t="shared" si="3"/>
        <v>0</v>
      </c>
      <c r="L38" s="173" t="s">
        <v>401</v>
      </c>
    </row>
    <row r="39" spans="1:12" ht="12.75">
      <c r="A39" s="380"/>
      <c r="B39" s="361" t="s">
        <v>82</v>
      </c>
      <c r="C39" s="457">
        <v>562.62</v>
      </c>
      <c r="D39" s="431"/>
      <c r="E39" s="385">
        <f t="shared" si="4"/>
        <v>562.62</v>
      </c>
      <c r="F39" s="173"/>
      <c r="G39" s="173" t="s">
        <v>401</v>
      </c>
      <c r="H39" s="173"/>
      <c r="I39" s="211">
        <f t="shared" si="5"/>
        <v>0</v>
      </c>
      <c r="J39" s="211">
        <f t="shared" si="6"/>
        <v>0</v>
      </c>
      <c r="K39" s="401">
        <f t="shared" si="3"/>
        <v>0</v>
      </c>
      <c r="L39" s="173" t="s">
        <v>401</v>
      </c>
    </row>
    <row r="40" spans="1:12" ht="12.75">
      <c r="A40" s="380"/>
      <c r="B40" s="361" t="s">
        <v>83</v>
      </c>
      <c r="C40" s="457">
        <v>337.99</v>
      </c>
      <c r="D40" s="431"/>
      <c r="E40" s="385">
        <f t="shared" si="4"/>
        <v>337.99</v>
      </c>
      <c r="F40" s="173"/>
      <c r="G40" s="173" t="s">
        <v>401</v>
      </c>
      <c r="H40" s="173"/>
      <c r="I40" s="211">
        <f t="shared" si="5"/>
        <v>0</v>
      </c>
      <c r="J40" s="211">
        <f t="shared" si="6"/>
        <v>0</v>
      </c>
      <c r="K40" s="401">
        <f t="shared" si="3"/>
        <v>0</v>
      </c>
      <c r="L40" s="173" t="s">
        <v>401</v>
      </c>
    </row>
    <row r="41" spans="1:12" ht="12.75">
      <c r="A41" s="380"/>
      <c r="B41" s="361" t="s">
        <v>1098</v>
      </c>
      <c r="C41" s="457">
        <v>251.02</v>
      </c>
      <c r="D41" s="431"/>
      <c r="E41" s="385">
        <f t="shared" si="4"/>
        <v>251.02</v>
      </c>
      <c r="F41" s="173"/>
      <c r="G41" s="173" t="s">
        <v>401</v>
      </c>
      <c r="H41" s="173"/>
      <c r="I41" s="211">
        <f t="shared" si="5"/>
        <v>0</v>
      </c>
      <c r="J41" s="211">
        <f t="shared" si="6"/>
        <v>0</v>
      </c>
      <c r="K41" s="401">
        <f t="shared" si="3"/>
        <v>0</v>
      </c>
      <c r="L41" s="173" t="s">
        <v>401</v>
      </c>
    </row>
    <row r="42" spans="1:12" ht="12.75">
      <c r="A42" s="380"/>
      <c r="B42" s="361" t="s">
        <v>84</v>
      </c>
      <c r="C42" s="457">
        <v>539.2</v>
      </c>
      <c r="D42" s="431"/>
      <c r="E42" s="385">
        <f t="shared" si="4"/>
        <v>539.2</v>
      </c>
      <c r="F42" s="173"/>
      <c r="G42" s="173" t="s">
        <v>401</v>
      </c>
      <c r="H42" s="173"/>
      <c r="I42" s="211">
        <f t="shared" si="5"/>
        <v>0</v>
      </c>
      <c r="J42" s="211">
        <f t="shared" si="6"/>
        <v>0</v>
      </c>
      <c r="K42" s="401">
        <f t="shared" si="3"/>
        <v>0</v>
      </c>
      <c r="L42" s="173" t="s">
        <v>401</v>
      </c>
    </row>
    <row r="43" spans="1:12" ht="12.75">
      <c r="A43" s="380"/>
      <c r="B43" s="361" t="s">
        <v>85</v>
      </c>
      <c r="C43" s="457">
        <v>255.2</v>
      </c>
      <c r="D43" s="431"/>
      <c r="E43" s="385">
        <f t="shared" si="4"/>
        <v>255.2</v>
      </c>
      <c r="F43" s="173"/>
      <c r="G43" s="173" t="s">
        <v>401</v>
      </c>
      <c r="H43" s="173"/>
      <c r="I43" s="211">
        <f t="shared" si="5"/>
        <v>0</v>
      </c>
      <c r="J43" s="211">
        <f t="shared" si="6"/>
        <v>0</v>
      </c>
      <c r="K43" s="401">
        <f t="shared" si="3"/>
        <v>0</v>
      </c>
      <c r="L43" s="173" t="s">
        <v>401</v>
      </c>
    </row>
    <row r="44" spans="1:12" ht="12.75">
      <c r="A44" s="380"/>
      <c r="B44" s="361" t="s">
        <v>1099</v>
      </c>
      <c r="C44" s="457">
        <f>499.7-1.25</f>
        <v>498.45</v>
      </c>
      <c r="D44" s="431"/>
      <c r="E44" s="385">
        <f t="shared" si="4"/>
        <v>498.45</v>
      </c>
      <c r="F44" s="173"/>
      <c r="G44" s="173" t="s">
        <v>401</v>
      </c>
      <c r="H44" s="173"/>
      <c r="I44" s="211">
        <f t="shared" si="5"/>
        <v>0</v>
      </c>
      <c r="J44" s="211">
        <f t="shared" si="6"/>
        <v>0</v>
      </c>
      <c r="K44" s="401">
        <f t="shared" si="3"/>
        <v>0</v>
      </c>
      <c r="L44" s="173" t="s">
        <v>401</v>
      </c>
    </row>
    <row r="45" spans="1:12" ht="12.75">
      <c r="A45" s="380"/>
      <c r="B45" s="361" t="s">
        <v>86</v>
      </c>
      <c r="C45" s="457">
        <f>347.25-0.05</f>
        <v>347.2</v>
      </c>
      <c r="D45" s="431"/>
      <c r="E45" s="385">
        <f t="shared" si="4"/>
        <v>347.2</v>
      </c>
      <c r="F45" s="173"/>
      <c r="G45" s="173" t="s">
        <v>401</v>
      </c>
      <c r="H45" s="173"/>
      <c r="I45" s="211">
        <f t="shared" si="5"/>
        <v>0</v>
      </c>
      <c r="J45" s="211">
        <f t="shared" si="6"/>
        <v>0</v>
      </c>
      <c r="K45" s="401">
        <f t="shared" si="3"/>
        <v>0</v>
      </c>
      <c r="L45" s="173" t="s">
        <v>401</v>
      </c>
    </row>
    <row r="46" spans="1:12" ht="12.75">
      <c r="A46" s="380"/>
      <c r="B46" s="361" t="s">
        <v>1100</v>
      </c>
      <c r="C46" s="457">
        <v>409.05</v>
      </c>
      <c r="D46" s="431"/>
      <c r="E46" s="385">
        <f t="shared" si="4"/>
        <v>409.05</v>
      </c>
      <c r="F46" s="173"/>
      <c r="G46" s="173" t="s">
        <v>401</v>
      </c>
      <c r="H46" s="173"/>
      <c r="I46" s="211">
        <f t="shared" si="5"/>
        <v>0</v>
      </c>
      <c r="J46" s="211">
        <f t="shared" si="6"/>
        <v>0</v>
      </c>
      <c r="K46" s="401">
        <f t="shared" si="3"/>
        <v>0</v>
      </c>
      <c r="L46" s="173" t="s">
        <v>401</v>
      </c>
    </row>
    <row r="47" spans="1:12" ht="12.75">
      <c r="A47" s="380"/>
      <c r="B47" s="361" t="s">
        <v>87</v>
      </c>
      <c r="C47" s="457">
        <f>411.45-0.1</f>
        <v>411.34999999999997</v>
      </c>
      <c r="D47" s="431"/>
      <c r="E47" s="385">
        <f t="shared" si="4"/>
        <v>411.34999999999997</v>
      </c>
      <c r="F47" s="173"/>
      <c r="G47" s="173" t="s">
        <v>401</v>
      </c>
      <c r="H47" s="173"/>
      <c r="I47" s="211">
        <f t="shared" si="5"/>
        <v>0</v>
      </c>
      <c r="J47" s="211">
        <f t="shared" si="6"/>
        <v>0</v>
      </c>
      <c r="K47" s="401">
        <f t="shared" si="3"/>
        <v>0</v>
      </c>
      <c r="L47" s="173" t="s">
        <v>401</v>
      </c>
    </row>
    <row r="48" spans="1:12" ht="12.75">
      <c r="A48" s="380"/>
      <c r="B48" s="361" t="s">
        <v>88</v>
      </c>
      <c r="C48" s="457">
        <f>418.45-0.05</f>
        <v>418.4</v>
      </c>
      <c r="D48" s="431"/>
      <c r="E48" s="385">
        <f t="shared" si="4"/>
        <v>418.4</v>
      </c>
      <c r="F48" s="173"/>
      <c r="G48" s="173" t="s">
        <v>401</v>
      </c>
      <c r="H48" s="173"/>
      <c r="I48" s="211">
        <f t="shared" si="5"/>
        <v>0</v>
      </c>
      <c r="J48" s="211">
        <f t="shared" si="6"/>
        <v>0</v>
      </c>
      <c r="K48" s="401">
        <f t="shared" si="3"/>
        <v>0</v>
      </c>
      <c r="L48" s="173" t="s">
        <v>401</v>
      </c>
    </row>
    <row r="49" spans="1:12" ht="12.75">
      <c r="A49" s="380"/>
      <c r="B49" s="361" t="s">
        <v>89</v>
      </c>
      <c r="C49" s="457">
        <v>386.48</v>
      </c>
      <c r="D49" s="431"/>
      <c r="E49" s="385">
        <f t="shared" si="4"/>
        <v>386.48</v>
      </c>
      <c r="F49" s="173"/>
      <c r="G49" s="173" t="s">
        <v>401</v>
      </c>
      <c r="H49" s="173"/>
      <c r="I49" s="211">
        <f t="shared" si="5"/>
        <v>0</v>
      </c>
      <c r="J49" s="211">
        <f t="shared" si="6"/>
        <v>0</v>
      </c>
      <c r="K49" s="401">
        <f t="shared" si="3"/>
        <v>0</v>
      </c>
      <c r="L49" s="173" t="s">
        <v>401</v>
      </c>
    </row>
    <row r="50" spans="1:12" ht="12.75">
      <c r="A50" s="380"/>
      <c r="B50" s="361" t="s">
        <v>1101</v>
      </c>
      <c r="C50" s="457">
        <f>323.2-0.15</f>
        <v>323.05</v>
      </c>
      <c r="D50" s="431"/>
      <c r="E50" s="385">
        <f t="shared" si="4"/>
        <v>323.05</v>
      </c>
      <c r="F50" s="173"/>
      <c r="G50" s="173" t="s">
        <v>401</v>
      </c>
      <c r="H50" s="173"/>
      <c r="I50" s="211">
        <f t="shared" si="5"/>
        <v>0</v>
      </c>
      <c r="J50" s="211">
        <f t="shared" si="6"/>
        <v>0</v>
      </c>
      <c r="K50" s="401">
        <f t="shared" si="3"/>
        <v>0</v>
      </c>
      <c r="L50" s="173" t="s">
        <v>401</v>
      </c>
    </row>
    <row r="51" spans="1:12" ht="12.75">
      <c r="A51" s="380"/>
      <c r="B51" s="361" t="s">
        <v>1102</v>
      </c>
      <c r="C51" s="457">
        <v>155.34</v>
      </c>
      <c r="D51" s="431">
        <v>38.35</v>
      </c>
      <c r="E51" s="385">
        <f t="shared" si="4"/>
        <v>193.69</v>
      </c>
      <c r="F51" s="173"/>
      <c r="G51" s="173" t="s">
        <v>402</v>
      </c>
      <c r="H51" s="173"/>
      <c r="I51" s="211">
        <f t="shared" si="5"/>
        <v>0</v>
      </c>
      <c r="J51" s="211">
        <f t="shared" si="6"/>
        <v>0</v>
      </c>
      <c r="K51" s="401">
        <f t="shared" si="3"/>
        <v>0</v>
      </c>
      <c r="L51" s="173" t="s">
        <v>401</v>
      </c>
    </row>
    <row r="52" spans="1:12" ht="12.75">
      <c r="A52" s="380"/>
      <c r="B52" s="361" t="s">
        <v>121</v>
      </c>
      <c r="C52" s="457">
        <v>359.45</v>
      </c>
      <c r="D52" s="431"/>
      <c r="E52" s="385">
        <f t="shared" si="4"/>
        <v>359.45</v>
      </c>
      <c r="F52" s="173"/>
      <c r="G52" s="173" t="s">
        <v>401</v>
      </c>
      <c r="H52" s="173"/>
      <c r="I52" s="211">
        <f t="shared" si="5"/>
        <v>0</v>
      </c>
      <c r="J52" s="211">
        <f t="shared" si="6"/>
        <v>0</v>
      </c>
      <c r="K52" s="401">
        <f t="shared" si="3"/>
        <v>0</v>
      </c>
      <c r="L52" s="173" t="s">
        <v>401</v>
      </c>
    </row>
    <row r="53" spans="1:12" ht="12.75">
      <c r="A53" s="380"/>
      <c r="B53" s="361" t="s">
        <v>90</v>
      </c>
      <c r="C53" s="457">
        <v>469.75</v>
      </c>
      <c r="D53" s="431"/>
      <c r="E53" s="385">
        <f t="shared" si="4"/>
        <v>469.75</v>
      </c>
      <c r="F53" s="173"/>
      <c r="G53" s="173" t="s">
        <v>401</v>
      </c>
      <c r="H53" s="173"/>
      <c r="I53" s="211">
        <f t="shared" si="5"/>
        <v>0</v>
      </c>
      <c r="J53" s="211">
        <f t="shared" si="6"/>
        <v>0</v>
      </c>
      <c r="K53" s="401">
        <f t="shared" si="3"/>
        <v>0</v>
      </c>
      <c r="L53" s="173" t="s">
        <v>401</v>
      </c>
    </row>
    <row r="54" spans="1:12" ht="12.75">
      <c r="A54" s="380"/>
      <c r="B54" s="361" t="s">
        <v>91</v>
      </c>
      <c r="C54" s="457">
        <v>323</v>
      </c>
      <c r="D54" s="431"/>
      <c r="E54" s="385">
        <f t="shared" si="4"/>
        <v>323</v>
      </c>
      <c r="F54" s="173"/>
      <c r="G54" s="173" t="s">
        <v>401</v>
      </c>
      <c r="H54" s="173"/>
      <c r="I54" s="211">
        <f t="shared" si="5"/>
        <v>0</v>
      </c>
      <c r="J54" s="211">
        <f t="shared" si="6"/>
        <v>0</v>
      </c>
      <c r="K54" s="401">
        <f t="shared" si="3"/>
        <v>0</v>
      </c>
      <c r="L54" s="173" t="s">
        <v>401</v>
      </c>
    </row>
    <row r="55" spans="1:12" ht="12.75">
      <c r="A55" s="380"/>
      <c r="B55" s="361" t="s">
        <v>92</v>
      </c>
      <c r="C55" s="457">
        <v>365.29</v>
      </c>
      <c r="D55" s="431"/>
      <c r="E55" s="385">
        <f t="shared" si="4"/>
        <v>365.29</v>
      </c>
      <c r="F55" s="173"/>
      <c r="G55" s="173" t="s">
        <v>401</v>
      </c>
      <c r="H55" s="173"/>
      <c r="I55" s="211">
        <f t="shared" si="5"/>
        <v>0</v>
      </c>
      <c r="J55" s="211">
        <f t="shared" si="6"/>
        <v>0</v>
      </c>
      <c r="K55" s="401">
        <f t="shared" si="3"/>
        <v>0</v>
      </c>
      <c r="L55" s="173" t="s">
        <v>401</v>
      </c>
    </row>
    <row r="56" spans="1:12" ht="12.75">
      <c r="A56" s="380"/>
      <c r="B56" s="361" t="s">
        <v>93</v>
      </c>
      <c r="C56" s="457">
        <f>242.05-0.05</f>
        <v>242</v>
      </c>
      <c r="D56" s="431"/>
      <c r="E56" s="385">
        <f t="shared" si="4"/>
        <v>242</v>
      </c>
      <c r="F56" s="173"/>
      <c r="G56" s="173" t="s">
        <v>401</v>
      </c>
      <c r="H56" s="173"/>
      <c r="I56" s="211">
        <f t="shared" si="5"/>
        <v>0</v>
      </c>
      <c r="J56" s="211">
        <f t="shared" si="6"/>
        <v>0</v>
      </c>
      <c r="K56" s="401">
        <f t="shared" si="3"/>
        <v>0</v>
      </c>
      <c r="L56" s="173" t="s">
        <v>401</v>
      </c>
    </row>
    <row r="57" spans="1:12" ht="12.75">
      <c r="A57" s="380"/>
      <c r="B57" s="361" t="s">
        <v>94</v>
      </c>
      <c r="C57" s="457">
        <v>401.71</v>
      </c>
      <c r="D57" s="431"/>
      <c r="E57" s="385">
        <f>IF((C57+D57=0),"",C57+D57)</f>
        <v>401.71</v>
      </c>
      <c r="F57" s="173"/>
      <c r="G57" s="173" t="s">
        <v>401</v>
      </c>
      <c r="H57" s="173"/>
      <c r="I57" s="211">
        <f t="shared" si="5"/>
        <v>0</v>
      </c>
      <c r="J57" s="211">
        <f t="shared" si="6"/>
        <v>0</v>
      </c>
      <c r="K57" s="401">
        <f t="shared" si="3"/>
        <v>0</v>
      </c>
      <c r="L57" s="173" t="s">
        <v>401</v>
      </c>
    </row>
    <row r="58" spans="1:12" ht="12.75">
      <c r="A58" s="380"/>
      <c r="B58" s="361" t="s">
        <v>1079</v>
      </c>
      <c r="C58" s="457">
        <f>541.95-0.05</f>
        <v>541.9000000000001</v>
      </c>
      <c r="D58" s="431"/>
      <c r="E58" s="385">
        <f>IF((C58+D58=0),"",C58+D58)</f>
        <v>541.9000000000001</v>
      </c>
      <c r="F58" s="173"/>
      <c r="G58" s="173" t="s">
        <v>401</v>
      </c>
      <c r="H58" s="173"/>
      <c r="I58" s="211">
        <f t="shared" si="5"/>
        <v>0</v>
      </c>
      <c r="J58" s="211">
        <f t="shared" si="6"/>
        <v>0</v>
      </c>
      <c r="K58" s="401">
        <f t="shared" si="3"/>
        <v>0</v>
      </c>
      <c r="L58" s="173" t="s">
        <v>401</v>
      </c>
    </row>
    <row r="59" spans="1:12" ht="12.75">
      <c r="A59" s="380"/>
      <c r="B59" s="361" t="s">
        <v>1078</v>
      </c>
      <c r="C59" s="457">
        <v>408.8</v>
      </c>
      <c r="D59" s="431"/>
      <c r="E59" s="385">
        <f t="shared" si="4"/>
        <v>408.8</v>
      </c>
      <c r="F59" s="173"/>
      <c r="G59" s="173" t="s">
        <v>401</v>
      </c>
      <c r="H59" s="173"/>
      <c r="I59" s="211">
        <f t="shared" si="5"/>
        <v>0</v>
      </c>
      <c r="J59" s="211">
        <f t="shared" si="6"/>
        <v>0</v>
      </c>
      <c r="K59" s="401">
        <f t="shared" si="3"/>
        <v>0</v>
      </c>
      <c r="L59" s="173" t="s">
        <v>401</v>
      </c>
    </row>
    <row r="60" spans="1:12" ht="12.75">
      <c r="A60" s="380"/>
      <c r="B60" s="361" t="s">
        <v>95</v>
      </c>
      <c r="C60" s="457">
        <v>352.04</v>
      </c>
      <c r="D60" s="431"/>
      <c r="E60" s="385">
        <f t="shared" si="4"/>
        <v>352.04</v>
      </c>
      <c r="F60" s="173"/>
      <c r="G60" s="173" t="s">
        <v>401</v>
      </c>
      <c r="H60" s="173"/>
      <c r="I60" s="211">
        <f t="shared" si="5"/>
        <v>0</v>
      </c>
      <c r="J60" s="211">
        <f t="shared" si="6"/>
        <v>0</v>
      </c>
      <c r="K60" s="401">
        <f t="shared" si="3"/>
        <v>0</v>
      </c>
      <c r="L60" s="173" t="s">
        <v>401</v>
      </c>
    </row>
    <row r="61" spans="1:12" ht="12.75">
      <c r="A61" s="380"/>
      <c r="B61" s="361" t="s">
        <v>96</v>
      </c>
      <c r="C61" s="457">
        <v>418.7</v>
      </c>
      <c r="D61" s="431"/>
      <c r="E61" s="385">
        <f>IF((C61+D61=0),"",C61+D61)</f>
        <v>418.7</v>
      </c>
      <c r="F61" s="173"/>
      <c r="G61" s="173" t="s">
        <v>401</v>
      </c>
      <c r="H61" s="173"/>
      <c r="I61" s="211">
        <f t="shared" si="5"/>
        <v>0</v>
      </c>
      <c r="J61" s="211">
        <f t="shared" si="6"/>
        <v>0</v>
      </c>
      <c r="K61" s="401">
        <f t="shared" si="3"/>
        <v>0</v>
      </c>
      <c r="L61" s="173" t="s">
        <v>401</v>
      </c>
    </row>
    <row r="62" spans="1:12" ht="12.75">
      <c r="A62" s="380"/>
      <c r="B62" s="361" t="s">
        <v>98</v>
      </c>
      <c r="C62" s="457">
        <f>264.29-0.35</f>
        <v>263.94</v>
      </c>
      <c r="D62" s="431"/>
      <c r="E62" s="385">
        <f t="shared" si="4"/>
        <v>263.94</v>
      </c>
      <c r="F62" s="173"/>
      <c r="G62" s="173" t="s">
        <v>401</v>
      </c>
      <c r="H62" s="173"/>
      <c r="I62" s="211">
        <f t="shared" si="5"/>
        <v>0</v>
      </c>
      <c r="J62" s="211">
        <f t="shared" si="6"/>
        <v>0</v>
      </c>
      <c r="K62" s="401">
        <f t="shared" si="3"/>
        <v>0</v>
      </c>
      <c r="L62" s="173" t="s">
        <v>401</v>
      </c>
    </row>
    <row r="63" spans="1:12" ht="12.75">
      <c r="A63" s="380"/>
      <c r="B63" s="361" t="s">
        <v>97</v>
      </c>
      <c r="C63" s="457">
        <f>249.35-0.1</f>
        <v>249.25</v>
      </c>
      <c r="D63" s="431"/>
      <c r="E63" s="385">
        <f t="shared" si="4"/>
        <v>249.25</v>
      </c>
      <c r="F63" s="173"/>
      <c r="G63" s="173" t="s">
        <v>1094</v>
      </c>
      <c r="H63" s="173"/>
      <c r="I63" s="211">
        <f aca="true" t="shared" si="7" ref="I63:I94">SUMIF($G$9:$G$647,H63,$C$9:$C$647)</f>
        <v>0</v>
      </c>
      <c r="J63" s="211">
        <f aca="true" t="shared" si="8" ref="J63:J94">SUMIF($G$9:$G$647,H63,$D$9:$D$647)</f>
        <v>0</v>
      </c>
      <c r="K63" s="401">
        <f t="shared" si="3"/>
        <v>0</v>
      </c>
      <c r="L63" s="173" t="s">
        <v>401</v>
      </c>
    </row>
    <row r="64" spans="1:12" ht="12.75">
      <c r="A64" s="380"/>
      <c r="B64" s="361" t="s">
        <v>1103</v>
      </c>
      <c r="C64" s="457">
        <f>453.35-0.15</f>
        <v>453.20000000000005</v>
      </c>
      <c r="D64" s="431"/>
      <c r="E64" s="385">
        <f t="shared" si="4"/>
        <v>453.20000000000005</v>
      </c>
      <c r="F64" s="173"/>
      <c r="G64" s="173" t="s">
        <v>401</v>
      </c>
      <c r="H64" s="173"/>
      <c r="I64" s="211">
        <f t="shared" si="7"/>
        <v>0</v>
      </c>
      <c r="J64" s="211">
        <f t="shared" si="8"/>
        <v>0</v>
      </c>
      <c r="K64" s="401">
        <f t="shared" si="3"/>
        <v>0</v>
      </c>
      <c r="L64" s="173" t="s">
        <v>401</v>
      </c>
    </row>
    <row r="65" spans="1:12" ht="12.75">
      <c r="A65" s="380"/>
      <c r="B65" s="361" t="s">
        <v>99</v>
      </c>
      <c r="C65" s="457">
        <v>414.85</v>
      </c>
      <c r="D65" s="431"/>
      <c r="E65" s="385">
        <f t="shared" si="4"/>
        <v>414.85</v>
      </c>
      <c r="F65" s="173"/>
      <c r="G65" s="173" t="s">
        <v>401</v>
      </c>
      <c r="H65" s="173"/>
      <c r="I65" s="211">
        <f t="shared" si="7"/>
        <v>0</v>
      </c>
      <c r="J65" s="211">
        <f t="shared" si="8"/>
        <v>0</v>
      </c>
      <c r="K65" s="401">
        <f t="shared" si="3"/>
        <v>0</v>
      </c>
      <c r="L65" s="173" t="s">
        <v>401</v>
      </c>
    </row>
    <row r="66" spans="1:12" ht="12.75">
      <c r="A66" s="380"/>
      <c r="B66" s="361" t="s">
        <v>100</v>
      </c>
      <c r="C66" s="457">
        <v>308.49</v>
      </c>
      <c r="D66" s="431"/>
      <c r="E66" s="385">
        <f t="shared" si="4"/>
        <v>308.49</v>
      </c>
      <c r="F66" s="173"/>
      <c r="G66" s="173" t="s">
        <v>401</v>
      </c>
      <c r="H66" s="173"/>
      <c r="I66" s="211">
        <f t="shared" si="7"/>
        <v>0</v>
      </c>
      <c r="J66" s="211">
        <f t="shared" si="8"/>
        <v>0</v>
      </c>
      <c r="K66" s="401">
        <f t="shared" si="3"/>
        <v>0</v>
      </c>
      <c r="L66" s="173" t="s">
        <v>401</v>
      </c>
    </row>
    <row r="67" spans="1:12" ht="12.75">
      <c r="A67" s="380"/>
      <c r="B67" s="361" t="s">
        <v>101</v>
      </c>
      <c r="C67" s="457">
        <v>236.11</v>
      </c>
      <c r="D67" s="431"/>
      <c r="E67" s="385">
        <f t="shared" si="4"/>
        <v>236.11</v>
      </c>
      <c r="F67" s="173"/>
      <c r="G67" s="173" t="s">
        <v>401</v>
      </c>
      <c r="H67" s="173"/>
      <c r="I67" s="211">
        <f t="shared" si="7"/>
        <v>0</v>
      </c>
      <c r="J67" s="211">
        <f t="shared" si="8"/>
        <v>0</v>
      </c>
      <c r="K67" s="401">
        <f t="shared" si="3"/>
        <v>0</v>
      </c>
      <c r="L67" s="173" t="s">
        <v>401</v>
      </c>
    </row>
    <row r="68" spans="1:12" ht="12.75">
      <c r="A68" s="380"/>
      <c r="B68" s="361" t="s">
        <v>102</v>
      </c>
      <c r="C68" s="457">
        <f>436.63-0.1</f>
        <v>436.53</v>
      </c>
      <c r="D68" s="431"/>
      <c r="E68" s="385">
        <f t="shared" si="4"/>
        <v>436.53</v>
      </c>
      <c r="F68" s="173"/>
      <c r="G68" s="173" t="s">
        <v>401</v>
      </c>
      <c r="H68" s="173"/>
      <c r="I68" s="211">
        <f t="shared" si="7"/>
        <v>0</v>
      </c>
      <c r="J68" s="211">
        <f t="shared" si="8"/>
        <v>0</v>
      </c>
      <c r="K68" s="401">
        <f t="shared" si="3"/>
        <v>0</v>
      </c>
      <c r="L68" s="173" t="s">
        <v>401</v>
      </c>
    </row>
    <row r="69" spans="1:12" ht="12.75">
      <c r="A69" s="380"/>
      <c r="B69" s="361" t="s">
        <v>103</v>
      </c>
      <c r="C69" s="457">
        <f>302.27-0.05</f>
        <v>302.21999999999997</v>
      </c>
      <c r="D69" s="431"/>
      <c r="E69" s="385">
        <f t="shared" si="4"/>
        <v>302.21999999999997</v>
      </c>
      <c r="F69" s="173"/>
      <c r="G69" s="173" t="s">
        <v>401</v>
      </c>
      <c r="H69" s="173"/>
      <c r="I69" s="211">
        <f t="shared" si="7"/>
        <v>0</v>
      </c>
      <c r="J69" s="211">
        <f t="shared" si="8"/>
        <v>0</v>
      </c>
      <c r="K69" s="401">
        <f t="shared" si="3"/>
        <v>0</v>
      </c>
      <c r="L69" s="173" t="s">
        <v>401</v>
      </c>
    </row>
    <row r="70" spans="1:12" ht="12.75">
      <c r="A70" s="380"/>
      <c r="B70" s="361" t="s">
        <v>104</v>
      </c>
      <c r="C70" s="457">
        <v>267.05</v>
      </c>
      <c r="D70" s="431"/>
      <c r="E70" s="385">
        <f t="shared" si="4"/>
        <v>267.05</v>
      </c>
      <c r="F70" s="173"/>
      <c r="G70" s="173" t="s">
        <v>1094</v>
      </c>
      <c r="H70" s="173"/>
      <c r="I70" s="211">
        <f t="shared" si="7"/>
        <v>0</v>
      </c>
      <c r="J70" s="211">
        <f t="shared" si="8"/>
        <v>0</v>
      </c>
      <c r="K70" s="401">
        <f t="shared" si="3"/>
        <v>0</v>
      </c>
      <c r="L70" s="173" t="s">
        <v>401</v>
      </c>
    </row>
    <row r="71" spans="1:12" ht="12.75">
      <c r="A71" s="380"/>
      <c r="B71" s="361" t="s">
        <v>105</v>
      </c>
      <c r="C71" s="457">
        <v>422.81</v>
      </c>
      <c r="D71" s="431"/>
      <c r="E71" s="385">
        <f t="shared" si="4"/>
        <v>422.81</v>
      </c>
      <c r="F71" s="173"/>
      <c r="G71" s="173" t="s">
        <v>401</v>
      </c>
      <c r="H71" s="173"/>
      <c r="I71" s="211">
        <f t="shared" si="7"/>
        <v>0</v>
      </c>
      <c r="J71" s="211">
        <f t="shared" si="8"/>
        <v>0</v>
      </c>
      <c r="K71" s="401">
        <f t="shared" si="3"/>
        <v>0</v>
      </c>
      <c r="L71" s="173" t="s">
        <v>401</v>
      </c>
    </row>
    <row r="72" spans="1:12" ht="12.75">
      <c r="A72" s="380"/>
      <c r="B72" s="361" t="s">
        <v>106</v>
      </c>
      <c r="C72" s="457">
        <v>474.34</v>
      </c>
      <c r="D72" s="431"/>
      <c r="E72" s="385">
        <f t="shared" si="4"/>
        <v>474.34</v>
      </c>
      <c r="F72" s="173"/>
      <c r="G72" s="173" t="s">
        <v>401</v>
      </c>
      <c r="H72" s="173"/>
      <c r="I72" s="211">
        <f t="shared" si="7"/>
        <v>0</v>
      </c>
      <c r="J72" s="211">
        <f t="shared" si="8"/>
        <v>0</v>
      </c>
      <c r="K72" s="401">
        <f t="shared" si="3"/>
        <v>0</v>
      </c>
      <c r="L72" s="173" t="s">
        <v>401</v>
      </c>
    </row>
    <row r="73" spans="1:12" ht="12.75">
      <c r="A73" s="380"/>
      <c r="B73" s="361" t="s">
        <v>107</v>
      </c>
      <c r="C73" s="457">
        <v>472.79</v>
      </c>
      <c r="D73" s="431"/>
      <c r="E73" s="385">
        <f t="shared" si="4"/>
        <v>472.79</v>
      </c>
      <c r="F73" s="173"/>
      <c r="G73" s="173" t="s">
        <v>401</v>
      </c>
      <c r="H73" s="173"/>
      <c r="I73" s="211">
        <f t="shared" si="7"/>
        <v>0</v>
      </c>
      <c r="J73" s="211">
        <f t="shared" si="8"/>
        <v>0</v>
      </c>
      <c r="K73" s="401">
        <f t="shared" si="3"/>
        <v>0</v>
      </c>
      <c r="L73" s="173" t="s">
        <v>401</v>
      </c>
    </row>
    <row r="74" spans="1:12" ht="12.75">
      <c r="A74" s="380"/>
      <c r="B74" s="361" t="s">
        <v>108</v>
      </c>
      <c r="C74" s="457">
        <f>547.9-0.3</f>
        <v>547.6</v>
      </c>
      <c r="D74" s="431"/>
      <c r="E74" s="385">
        <f t="shared" si="4"/>
        <v>547.6</v>
      </c>
      <c r="F74" s="173"/>
      <c r="G74" s="173" t="s">
        <v>401</v>
      </c>
      <c r="H74" s="173"/>
      <c r="I74" s="211">
        <f t="shared" si="7"/>
        <v>0</v>
      </c>
      <c r="J74" s="211">
        <f t="shared" si="8"/>
        <v>0</v>
      </c>
      <c r="K74" s="401">
        <f aca="true" t="shared" si="9" ref="K74:K126">SUM(I74:J74)</f>
        <v>0</v>
      </c>
      <c r="L74" s="173" t="s">
        <v>401</v>
      </c>
    </row>
    <row r="75" spans="1:12" ht="12.75">
      <c r="A75" s="380"/>
      <c r="B75" s="361" t="s">
        <v>109</v>
      </c>
      <c r="C75" s="457">
        <v>338.86</v>
      </c>
      <c r="D75" s="431"/>
      <c r="E75" s="385">
        <f t="shared" si="4"/>
        <v>338.86</v>
      </c>
      <c r="F75" s="173"/>
      <c r="G75" s="173" t="s">
        <v>401</v>
      </c>
      <c r="H75" s="173"/>
      <c r="I75" s="211">
        <f t="shared" si="7"/>
        <v>0</v>
      </c>
      <c r="J75" s="211">
        <f t="shared" si="8"/>
        <v>0</v>
      </c>
      <c r="K75" s="401">
        <f t="shared" si="9"/>
        <v>0</v>
      </c>
      <c r="L75" s="173" t="s">
        <v>401</v>
      </c>
    </row>
    <row r="76" spans="1:12" ht="12.75">
      <c r="A76" s="380"/>
      <c r="B76" s="361" t="s">
        <v>110</v>
      </c>
      <c r="C76" s="457">
        <v>655.7</v>
      </c>
      <c r="D76" s="431"/>
      <c r="E76" s="385">
        <f t="shared" si="4"/>
        <v>655.7</v>
      </c>
      <c r="F76" s="173"/>
      <c r="G76" s="173" t="s">
        <v>401</v>
      </c>
      <c r="H76" s="173"/>
      <c r="I76" s="211">
        <f t="shared" si="7"/>
        <v>0</v>
      </c>
      <c r="J76" s="211">
        <f t="shared" si="8"/>
        <v>0</v>
      </c>
      <c r="K76" s="401">
        <f t="shared" si="9"/>
        <v>0</v>
      </c>
      <c r="L76" s="173" t="s">
        <v>401</v>
      </c>
    </row>
    <row r="77" spans="1:12" ht="12.75">
      <c r="A77" s="380"/>
      <c r="B77" s="361" t="s">
        <v>1105</v>
      </c>
      <c r="C77" s="457">
        <v>454.8</v>
      </c>
      <c r="D77" s="431"/>
      <c r="E77" s="385">
        <f t="shared" si="4"/>
        <v>454.8</v>
      </c>
      <c r="F77" s="173"/>
      <c r="G77" s="173" t="s">
        <v>401</v>
      </c>
      <c r="H77" s="173"/>
      <c r="I77" s="211">
        <f t="shared" si="7"/>
        <v>0</v>
      </c>
      <c r="J77" s="211">
        <f t="shared" si="8"/>
        <v>0</v>
      </c>
      <c r="K77" s="401">
        <f t="shared" si="9"/>
        <v>0</v>
      </c>
      <c r="L77" s="173" t="s">
        <v>401</v>
      </c>
    </row>
    <row r="78" spans="1:12" ht="12.75">
      <c r="A78" s="380"/>
      <c r="B78" s="361" t="s">
        <v>1106</v>
      </c>
      <c r="C78" s="457">
        <f>413.43-0.75</f>
        <v>412.68</v>
      </c>
      <c r="D78" s="431"/>
      <c r="E78" s="385">
        <f t="shared" si="4"/>
        <v>412.68</v>
      </c>
      <c r="F78" s="173"/>
      <c r="G78" s="173" t="s">
        <v>401</v>
      </c>
      <c r="H78" s="173"/>
      <c r="I78" s="211">
        <f t="shared" si="7"/>
        <v>0</v>
      </c>
      <c r="J78" s="211">
        <f t="shared" si="8"/>
        <v>0</v>
      </c>
      <c r="K78" s="401">
        <f t="shared" si="9"/>
        <v>0</v>
      </c>
      <c r="L78" s="173" t="s">
        <v>401</v>
      </c>
    </row>
    <row r="79" spans="1:12" ht="12.75">
      <c r="A79" s="380"/>
      <c r="B79" s="361" t="s">
        <v>1107</v>
      </c>
      <c r="C79" s="457">
        <f>428.5-0.3</f>
        <v>428.2</v>
      </c>
      <c r="D79" s="431"/>
      <c r="E79" s="385">
        <f t="shared" si="4"/>
        <v>428.2</v>
      </c>
      <c r="F79" s="173"/>
      <c r="G79" s="173" t="s">
        <v>401</v>
      </c>
      <c r="H79" s="173"/>
      <c r="I79" s="211">
        <f t="shared" si="7"/>
        <v>0</v>
      </c>
      <c r="J79" s="211">
        <f t="shared" si="8"/>
        <v>0</v>
      </c>
      <c r="K79" s="401">
        <f t="shared" si="9"/>
        <v>0</v>
      </c>
      <c r="L79" s="173" t="s">
        <v>401</v>
      </c>
    </row>
    <row r="80" spans="1:12" ht="12.75">
      <c r="A80" s="380"/>
      <c r="B80" s="361" t="s">
        <v>111</v>
      </c>
      <c r="C80" s="457">
        <v>350.15</v>
      </c>
      <c r="D80" s="431"/>
      <c r="E80" s="385">
        <f t="shared" si="4"/>
        <v>350.15</v>
      </c>
      <c r="F80" s="173"/>
      <c r="G80" s="173" t="s">
        <v>401</v>
      </c>
      <c r="H80" s="173"/>
      <c r="I80" s="211">
        <f t="shared" si="7"/>
        <v>0</v>
      </c>
      <c r="J80" s="211">
        <f t="shared" si="8"/>
        <v>0</v>
      </c>
      <c r="K80" s="401">
        <f t="shared" si="9"/>
        <v>0</v>
      </c>
      <c r="L80" s="173" t="s">
        <v>401</v>
      </c>
    </row>
    <row r="81" spans="1:12" ht="12.75">
      <c r="A81" s="380"/>
      <c r="B81" s="361" t="s">
        <v>112</v>
      </c>
      <c r="C81" s="457">
        <v>413.95</v>
      </c>
      <c r="D81" s="431"/>
      <c r="E81" s="385">
        <f t="shared" si="4"/>
        <v>413.95</v>
      </c>
      <c r="F81" s="173"/>
      <c r="G81" s="173" t="s">
        <v>401</v>
      </c>
      <c r="H81" s="173"/>
      <c r="I81" s="211">
        <f t="shared" si="7"/>
        <v>0</v>
      </c>
      <c r="J81" s="211">
        <f t="shared" si="8"/>
        <v>0</v>
      </c>
      <c r="K81" s="401">
        <f t="shared" si="9"/>
        <v>0</v>
      </c>
      <c r="L81" s="173" t="s">
        <v>401</v>
      </c>
    </row>
    <row r="82" spans="1:12" ht="12.75">
      <c r="A82" s="380"/>
      <c r="B82" s="361" t="s">
        <v>113</v>
      </c>
      <c r="C82" s="457">
        <v>341.16</v>
      </c>
      <c r="D82" s="431"/>
      <c r="E82" s="385">
        <f t="shared" si="4"/>
        <v>341.16</v>
      </c>
      <c r="F82" s="173"/>
      <c r="G82" s="173" t="s">
        <v>401</v>
      </c>
      <c r="H82" s="173"/>
      <c r="I82" s="211">
        <f t="shared" si="7"/>
        <v>0</v>
      </c>
      <c r="J82" s="211">
        <f t="shared" si="8"/>
        <v>0</v>
      </c>
      <c r="K82" s="401">
        <f t="shared" si="9"/>
        <v>0</v>
      </c>
      <c r="L82" s="173" t="s">
        <v>401</v>
      </c>
    </row>
    <row r="83" spans="1:12" ht="12.75">
      <c r="A83" s="380"/>
      <c r="B83" s="361" t="s">
        <v>114</v>
      </c>
      <c r="C83" s="457">
        <v>408</v>
      </c>
      <c r="D83" s="431"/>
      <c r="E83" s="385">
        <f t="shared" si="4"/>
        <v>408</v>
      </c>
      <c r="F83" s="173"/>
      <c r="G83" s="173" t="s">
        <v>401</v>
      </c>
      <c r="H83" s="173"/>
      <c r="I83" s="211">
        <f t="shared" si="7"/>
        <v>0</v>
      </c>
      <c r="J83" s="211">
        <f t="shared" si="8"/>
        <v>0</v>
      </c>
      <c r="K83" s="401">
        <f t="shared" si="9"/>
        <v>0</v>
      </c>
      <c r="L83" s="173" t="s">
        <v>401</v>
      </c>
    </row>
    <row r="84" spans="1:12" ht="12.75">
      <c r="A84" s="380"/>
      <c r="B84" s="361" t="s">
        <v>116</v>
      </c>
      <c r="C84" s="457">
        <v>471.26</v>
      </c>
      <c r="D84" s="431"/>
      <c r="E84" s="385">
        <f>IF((C84+D84=0),"",C84+D84)</f>
        <v>471.26</v>
      </c>
      <c r="F84" s="173"/>
      <c r="G84" s="173" t="s">
        <v>1094</v>
      </c>
      <c r="H84" s="173"/>
      <c r="I84" s="211">
        <f t="shared" si="7"/>
        <v>0</v>
      </c>
      <c r="J84" s="211">
        <f t="shared" si="8"/>
        <v>0</v>
      </c>
      <c r="K84" s="401">
        <f t="shared" si="9"/>
        <v>0</v>
      </c>
      <c r="L84" s="173" t="s">
        <v>401</v>
      </c>
    </row>
    <row r="85" spans="1:12" ht="12.75">
      <c r="A85" s="380"/>
      <c r="B85" s="361" t="s">
        <v>117</v>
      </c>
      <c r="C85" s="457">
        <v>303.85</v>
      </c>
      <c r="D85" s="431"/>
      <c r="E85" s="385">
        <f t="shared" si="4"/>
        <v>303.85</v>
      </c>
      <c r="F85" s="173"/>
      <c r="G85" s="173" t="s">
        <v>1094</v>
      </c>
      <c r="H85" s="173"/>
      <c r="I85" s="211">
        <f t="shared" si="7"/>
        <v>0</v>
      </c>
      <c r="J85" s="211">
        <f t="shared" si="8"/>
        <v>0</v>
      </c>
      <c r="K85" s="401">
        <f t="shared" si="9"/>
        <v>0</v>
      </c>
      <c r="L85" s="173" t="s">
        <v>401</v>
      </c>
    </row>
    <row r="86" spans="1:12" ht="12.75">
      <c r="A86" s="380"/>
      <c r="B86" s="361" t="s">
        <v>115</v>
      </c>
      <c r="C86" s="457">
        <f>411.2-0.2</f>
        <v>411</v>
      </c>
      <c r="D86" s="431"/>
      <c r="E86" s="385">
        <f t="shared" si="4"/>
        <v>411</v>
      </c>
      <c r="F86" s="173"/>
      <c r="G86" s="173" t="s">
        <v>401</v>
      </c>
      <c r="H86" s="173"/>
      <c r="I86" s="211">
        <f t="shared" si="7"/>
        <v>0</v>
      </c>
      <c r="J86" s="211">
        <f t="shared" si="8"/>
        <v>0</v>
      </c>
      <c r="K86" s="401">
        <f t="shared" si="9"/>
        <v>0</v>
      </c>
      <c r="L86" s="173" t="s">
        <v>401</v>
      </c>
    </row>
    <row r="87" spans="1:12" ht="12.75">
      <c r="A87" s="380"/>
      <c r="B87" s="361" t="s">
        <v>118</v>
      </c>
      <c r="C87" s="457">
        <v>325.11</v>
      </c>
      <c r="D87" s="431"/>
      <c r="E87" s="385">
        <f t="shared" si="4"/>
        <v>325.11</v>
      </c>
      <c r="F87" s="173"/>
      <c r="G87" s="173" t="s">
        <v>401</v>
      </c>
      <c r="H87" s="173"/>
      <c r="I87" s="211">
        <f t="shared" si="7"/>
        <v>0</v>
      </c>
      <c r="J87" s="211">
        <f t="shared" si="8"/>
        <v>0</v>
      </c>
      <c r="K87" s="401">
        <f t="shared" si="9"/>
        <v>0</v>
      </c>
      <c r="L87" s="173" t="s">
        <v>401</v>
      </c>
    </row>
    <row r="88" spans="1:12" ht="12.75">
      <c r="A88" s="380"/>
      <c r="B88" s="361" t="s">
        <v>119</v>
      </c>
      <c r="C88" s="457">
        <v>377.6</v>
      </c>
      <c r="D88" s="431"/>
      <c r="E88" s="385">
        <f t="shared" si="4"/>
        <v>377.6</v>
      </c>
      <c r="F88" s="173"/>
      <c r="G88" s="173" t="s">
        <v>401</v>
      </c>
      <c r="H88" s="173"/>
      <c r="I88" s="211">
        <f t="shared" si="7"/>
        <v>0</v>
      </c>
      <c r="J88" s="211">
        <f t="shared" si="8"/>
        <v>0</v>
      </c>
      <c r="K88" s="401">
        <f t="shared" si="9"/>
        <v>0</v>
      </c>
      <c r="L88" s="173" t="s">
        <v>401</v>
      </c>
    </row>
    <row r="89" spans="1:12" ht="12.75">
      <c r="A89" s="380"/>
      <c r="B89" s="361" t="s">
        <v>120</v>
      </c>
      <c r="C89" s="457">
        <v>379.97</v>
      </c>
      <c r="D89" s="431"/>
      <c r="E89" s="385">
        <f t="shared" si="4"/>
        <v>379.97</v>
      </c>
      <c r="F89" s="173"/>
      <c r="G89" s="173" t="s">
        <v>401</v>
      </c>
      <c r="H89" s="173"/>
      <c r="I89" s="211">
        <f t="shared" si="7"/>
        <v>0</v>
      </c>
      <c r="J89" s="211">
        <f t="shared" si="8"/>
        <v>0</v>
      </c>
      <c r="K89" s="401">
        <f t="shared" si="9"/>
        <v>0</v>
      </c>
      <c r="L89" s="173" t="s">
        <v>401</v>
      </c>
    </row>
    <row r="90" spans="1:12" ht="12.75">
      <c r="A90" s="380"/>
      <c r="B90" s="361" t="s">
        <v>1104</v>
      </c>
      <c r="C90" s="457">
        <v>486.23</v>
      </c>
      <c r="D90" s="457">
        <v>110.95</v>
      </c>
      <c r="E90" s="385">
        <f>IF((C90+D90=0),"",C90+D90)</f>
        <v>597.1800000000001</v>
      </c>
      <c r="F90" s="173"/>
      <c r="G90" s="173" t="s">
        <v>401</v>
      </c>
      <c r="H90" s="173"/>
      <c r="I90" s="211">
        <f t="shared" si="7"/>
        <v>0</v>
      </c>
      <c r="J90" s="211">
        <f t="shared" si="8"/>
        <v>0</v>
      </c>
      <c r="K90" s="401">
        <f t="shared" si="9"/>
        <v>0</v>
      </c>
      <c r="L90" s="173" t="s">
        <v>401</v>
      </c>
    </row>
    <row r="91" spans="1:12" ht="12.75">
      <c r="A91" s="380"/>
      <c r="B91" s="361" t="s">
        <v>122</v>
      </c>
      <c r="C91" s="457"/>
      <c r="D91" s="457">
        <v>434.56</v>
      </c>
      <c r="E91" s="385">
        <f t="shared" si="4"/>
        <v>434.56</v>
      </c>
      <c r="F91" s="173"/>
      <c r="G91" s="173" t="s">
        <v>401</v>
      </c>
      <c r="H91" s="173"/>
      <c r="I91" s="211">
        <f t="shared" si="7"/>
        <v>0</v>
      </c>
      <c r="J91" s="211">
        <f t="shared" si="8"/>
        <v>0</v>
      </c>
      <c r="K91" s="401">
        <f t="shared" si="9"/>
        <v>0</v>
      </c>
      <c r="L91" s="173" t="s">
        <v>401</v>
      </c>
    </row>
    <row r="92" spans="1:12" ht="12.75">
      <c r="A92" s="380"/>
      <c r="B92" s="361" t="s">
        <v>1108</v>
      </c>
      <c r="C92" s="457">
        <v>298.24</v>
      </c>
      <c r="D92" s="457">
        <f>590.62-0.1</f>
        <v>590.52</v>
      </c>
      <c r="E92" s="385">
        <f t="shared" si="4"/>
        <v>888.76</v>
      </c>
      <c r="F92" s="173"/>
      <c r="G92" s="173" t="s">
        <v>401</v>
      </c>
      <c r="H92" s="173"/>
      <c r="I92" s="211">
        <f t="shared" si="7"/>
        <v>0</v>
      </c>
      <c r="J92" s="211">
        <f t="shared" si="8"/>
        <v>0</v>
      </c>
      <c r="K92" s="401">
        <f t="shared" si="9"/>
        <v>0</v>
      </c>
      <c r="L92" s="173" t="s">
        <v>401</v>
      </c>
    </row>
    <row r="93" spans="1:12" ht="12.75">
      <c r="A93" s="380"/>
      <c r="B93" s="361" t="s">
        <v>123</v>
      </c>
      <c r="C93" s="457"/>
      <c r="D93" s="457">
        <v>706.25</v>
      </c>
      <c r="E93" s="385">
        <f t="shared" si="4"/>
        <v>706.25</v>
      </c>
      <c r="F93" s="173"/>
      <c r="G93" s="173" t="s">
        <v>401</v>
      </c>
      <c r="H93" s="173"/>
      <c r="I93" s="211">
        <f t="shared" si="7"/>
        <v>0</v>
      </c>
      <c r="J93" s="211">
        <f t="shared" si="8"/>
        <v>0</v>
      </c>
      <c r="K93" s="401">
        <f t="shared" si="9"/>
        <v>0</v>
      </c>
      <c r="L93" s="173" t="s">
        <v>401</v>
      </c>
    </row>
    <row r="94" spans="1:12" ht="12.75">
      <c r="A94" s="380"/>
      <c r="B94" s="361" t="s">
        <v>124</v>
      </c>
      <c r="C94" s="457"/>
      <c r="D94" s="457">
        <v>610.21</v>
      </c>
      <c r="E94" s="385">
        <f t="shared" si="4"/>
        <v>610.21</v>
      </c>
      <c r="F94" s="173"/>
      <c r="G94" s="173" t="s">
        <v>401</v>
      </c>
      <c r="H94" s="173"/>
      <c r="I94" s="211">
        <f t="shared" si="7"/>
        <v>0</v>
      </c>
      <c r="J94" s="211">
        <f t="shared" si="8"/>
        <v>0</v>
      </c>
      <c r="K94" s="401">
        <f t="shared" si="9"/>
        <v>0</v>
      </c>
      <c r="L94" s="173" t="s">
        <v>401</v>
      </c>
    </row>
    <row r="95" spans="1:12" ht="12.75">
      <c r="A95" s="380"/>
      <c r="B95" s="361" t="s">
        <v>125</v>
      </c>
      <c r="C95" s="457"/>
      <c r="D95" s="457">
        <f>681.34-0.15</f>
        <v>681.19</v>
      </c>
      <c r="E95" s="385">
        <f aca="true" t="shared" si="10" ref="E95:E126">IF((C95+D95=0),"",C95+D95)</f>
        <v>681.19</v>
      </c>
      <c r="F95" s="173"/>
      <c r="G95" s="173" t="s">
        <v>401</v>
      </c>
      <c r="H95" s="173"/>
      <c r="I95" s="211">
        <f aca="true" t="shared" si="11" ref="I95:I126">SUMIF($G$9:$G$647,H95,$C$9:$C$647)</f>
        <v>0</v>
      </c>
      <c r="J95" s="211">
        <f aca="true" t="shared" si="12" ref="J95:J126">SUMIF($G$9:$G$647,H95,$D$9:$D$647)</f>
        <v>0</v>
      </c>
      <c r="K95" s="401">
        <f t="shared" si="9"/>
        <v>0</v>
      </c>
      <c r="L95" s="173" t="s">
        <v>401</v>
      </c>
    </row>
    <row r="96" spans="1:12" ht="12.75">
      <c r="A96" s="380"/>
      <c r="B96" s="361" t="s">
        <v>126</v>
      </c>
      <c r="C96" s="457"/>
      <c r="D96" s="457">
        <v>800.9</v>
      </c>
      <c r="E96" s="385">
        <f t="shared" si="10"/>
        <v>800.9</v>
      </c>
      <c r="F96" s="173"/>
      <c r="G96" s="173" t="s">
        <v>401</v>
      </c>
      <c r="H96" s="173"/>
      <c r="I96" s="211">
        <f t="shared" si="11"/>
        <v>0</v>
      </c>
      <c r="J96" s="211">
        <f t="shared" si="12"/>
        <v>0</v>
      </c>
      <c r="K96" s="401">
        <f t="shared" si="9"/>
        <v>0</v>
      </c>
      <c r="L96" s="173" t="s">
        <v>401</v>
      </c>
    </row>
    <row r="97" spans="1:12" ht="12.75">
      <c r="A97" s="380"/>
      <c r="B97" s="361" t="s">
        <v>127</v>
      </c>
      <c r="C97" s="457">
        <v>235.4</v>
      </c>
      <c r="D97" s="457">
        <v>445.05</v>
      </c>
      <c r="E97" s="385">
        <f t="shared" si="10"/>
        <v>680.45</v>
      </c>
      <c r="F97" s="173"/>
      <c r="G97" s="173" t="s">
        <v>401</v>
      </c>
      <c r="H97" s="173"/>
      <c r="I97" s="211">
        <f t="shared" si="11"/>
        <v>0</v>
      </c>
      <c r="J97" s="211">
        <f t="shared" si="12"/>
        <v>0</v>
      </c>
      <c r="K97" s="401">
        <f t="shared" si="9"/>
        <v>0</v>
      </c>
      <c r="L97" s="173" t="s">
        <v>401</v>
      </c>
    </row>
    <row r="98" spans="1:12" ht="12.75">
      <c r="A98" s="380"/>
      <c r="B98" s="361" t="s">
        <v>1199</v>
      </c>
      <c r="C98" s="457">
        <v>331.67</v>
      </c>
      <c r="D98" s="457">
        <v>672.86</v>
      </c>
      <c r="E98" s="385">
        <f>IF((C98+D98=0),"",C98+D98)</f>
        <v>1004.53</v>
      </c>
      <c r="F98" s="173"/>
      <c r="G98" s="204" t="s">
        <v>401</v>
      </c>
      <c r="H98" s="173"/>
      <c r="I98" s="211">
        <f t="shared" si="11"/>
        <v>0</v>
      </c>
      <c r="J98" s="211">
        <f t="shared" si="12"/>
        <v>0</v>
      </c>
      <c r="K98" s="401">
        <f t="shared" si="9"/>
        <v>0</v>
      </c>
      <c r="L98" s="173" t="s">
        <v>401</v>
      </c>
    </row>
    <row r="99" spans="1:12" ht="12.75">
      <c r="A99" s="380"/>
      <c r="B99" s="361" t="s">
        <v>128</v>
      </c>
      <c r="C99" s="457"/>
      <c r="D99" s="457">
        <v>767.25</v>
      </c>
      <c r="E99" s="385">
        <f t="shared" si="10"/>
        <v>767.25</v>
      </c>
      <c r="F99" s="173"/>
      <c r="G99" s="173" t="s">
        <v>401</v>
      </c>
      <c r="I99" s="211">
        <f t="shared" si="11"/>
        <v>0</v>
      </c>
      <c r="J99" s="211">
        <f t="shared" si="12"/>
        <v>0</v>
      </c>
      <c r="K99" s="401">
        <f t="shared" si="9"/>
        <v>0</v>
      </c>
      <c r="L99" s="173" t="s">
        <v>401</v>
      </c>
    </row>
    <row r="100" spans="1:12" ht="12.75">
      <c r="A100" s="380"/>
      <c r="B100" s="361" t="s">
        <v>129</v>
      </c>
      <c r="C100" s="457"/>
      <c r="D100" s="457">
        <f>451.27-0.25</f>
        <v>451.02</v>
      </c>
      <c r="E100" s="385">
        <f t="shared" si="10"/>
        <v>451.02</v>
      </c>
      <c r="F100" s="173"/>
      <c r="G100" s="173" t="s">
        <v>401</v>
      </c>
      <c r="H100" s="173"/>
      <c r="I100" s="211">
        <f t="shared" si="11"/>
        <v>0</v>
      </c>
      <c r="J100" s="211">
        <f t="shared" si="12"/>
        <v>0</v>
      </c>
      <c r="K100" s="401">
        <f t="shared" si="9"/>
        <v>0</v>
      </c>
      <c r="L100" s="173" t="s">
        <v>401</v>
      </c>
    </row>
    <row r="101" spans="1:12" ht="12.75">
      <c r="A101" s="380"/>
      <c r="B101" s="361" t="s">
        <v>130</v>
      </c>
      <c r="C101" s="457"/>
      <c r="D101" s="457">
        <f>1386.63-0.1</f>
        <v>1386.5300000000002</v>
      </c>
      <c r="E101" s="385">
        <f t="shared" si="10"/>
        <v>1386.5300000000002</v>
      </c>
      <c r="F101" s="173"/>
      <c r="G101" s="173" t="s">
        <v>401</v>
      </c>
      <c r="H101" s="173"/>
      <c r="I101" s="211">
        <f t="shared" si="11"/>
        <v>0</v>
      </c>
      <c r="J101" s="211">
        <f t="shared" si="12"/>
        <v>0</v>
      </c>
      <c r="K101" s="401">
        <f t="shared" si="9"/>
        <v>0</v>
      </c>
      <c r="L101" s="173" t="s">
        <v>401</v>
      </c>
    </row>
    <row r="102" spans="1:12" ht="12.75">
      <c r="A102" s="380"/>
      <c r="B102" s="361" t="s">
        <v>131</v>
      </c>
      <c r="C102" s="457"/>
      <c r="D102" s="457">
        <f>996.98-1</f>
        <v>995.98</v>
      </c>
      <c r="E102" s="385">
        <f t="shared" si="10"/>
        <v>995.98</v>
      </c>
      <c r="F102" s="173"/>
      <c r="G102" s="173" t="s">
        <v>401</v>
      </c>
      <c r="H102" s="173"/>
      <c r="I102" s="211">
        <f t="shared" si="11"/>
        <v>0</v>
      </c>
      <c r="J102" s="211">
        <f t="shared" si="12"/>
        <v>0</v>
      </c>
      <c r="K102" s="401">
        <f t="shared" si="9"/>
        <v>0</v>
      </c>
      <c r="L102" s="173" t="s">
        <v>401</v>
      </c>
    </row>
    <row r="103" spans="1:12" ht="12.75">
      <c r="A103" s="380"/>
      <c r="B103" s="361" t="s">
        <v>132</v>
      </c>
      <c r="C103" s="457"/>
      <c r="D103" s="457">
        <v>1641.74</v>
      </c>
      <c r="E103" s="385">
        <f t="shared" si="10"/>
        <v>1641.74</v>
      </c>
      <c r="F103" s="173"/>
      <c r="G103" s="173" t="s">
        <v>401</v>
      </c>
      <c r="H103" s="173"/>
      <c r="I103" s="211">
        <f t="shared" si="11"/>
        <v>0</v>
      </c>
      <c r="J103" s="211">
        <f t="shared" si="12"/>
        <v>0</v>
      </c>
      <c r="K103" s="401">
        <f t="shared" si="9"/>
        <v>0</v>
      </c>
      <c r="L103" s="173" t="s">
        <v>401</v>
      </c>
    </row>
    <row r="104" spans="1:12" ht="12.75">
      <c r="A104" s="380"/>
      <c r="B104" s="361" t="s">
        <v>1057</v>
      </c>
      <c r="C104" s="457"/>
      <c r="D104" s="457">
        <v>870.75</v>
      </c>
      <c r="E104" s="385">
        <f t="shared" si="10"/>
        <v>870.75</v>
      </c>
      <c r="F104" s="173"/>
      <c r="G104" s="173" t="s">
        <v>401</v>
      </c>
      <c r="H104" s="173"/>
      <c r="I104" s="211">
        <f t="shared" si="11"/>
        <v>0</v>
      </c>
      <c r="J104" s="211">
        <f t="shared" si="12"/>
        <v>0</v>
      </c>
      <c r="K104" s="401">
        <f t="shared" si="9"/>
        <v>0</v>
      </c>
      <c r="L104" s="173" t="s">
        <v>401</v>
      </c>
    </row>
    <row r="105" spans="1:12" ht="12.75">
      <c r="A105" s="380"/>
      <c r="B105" s="361" t="s">
        <v>133</v>
      </c>
      <c r="C105" s="457"/>
      <c r="D105" s="457">
        <f>2004.47-0.15</f>
        <v>2004.32</v>
      </c>
      <c r="E105" s="385">
        <f t="shared" si="10"/>
        <v>2004.32</v>
      </c>
      <c r="F105" s="173"/>
      <c r="G105" s="173" t="s">
        <v>401</v>
      </c>
      <c r="H105" s="173"/>
      <c r="I105" s="211">
        <f t="shared" si="11"/>
        <v>0</v>
      </c>
      <c r="J105" s="211">
        <f t="shared" si="12"/>
        <v>0</v>
      </c>
      <c r="K105" s="401">
        <f t="shared" si="9"/>
        <v>0</v>
      </c>
      <c r="L105" s="173" t="s">
        <v>401</v>
      </c>
    </row>
    <row r="106" spans="1:12" ht="12.75">
      <c r="A106" s="380"/>
      <c r="B106" s="361" t="s">
        <v>134</v>
      </c>
      <c r="C106" s="457"/>
      <c r="D106" s="457">
        <v>1582.86</v>
      </c>
      <c r="E106" s="385">
        <f t="shared" si="10"/>
        <v>1582.86</v>
      </c>
      <c r="F106" s="173"/>
      <c r="G106" s="173" t="s">
        <v>401</v>
      </c>
      <c r="H106" s="173"/>
      <c r="I106" s="211">
        <f t="shared" si="11"/>
        <v>0</v>
      </c>
      <c r="J106" s="211">
        <f t="shared" si="12"/>
        <v>0</v>
      </c>
      <c r="K106" s="401">
        <f t="shared" si="9"/>
        <v>0</v>
      </c>
      <c r="L106" s="173" t="s">
        <v>401</v>
      </c>
    </row>
    <row r="107" spans="1:12" ht="12.75">
      <c r="A107" s="380"/>
      <c r="B107" s="361" t="s">
        <v>135</v>
      </c>
      <c r="C107" s="457"/>
      <c r="D107" s="457">
        <f>1378.84-0.35</f>
        <v>1378.49</v>
      </c>
      <c r="E107" s="385">
        <f t="shared" si="10"/>
        <v>1378.49</v>
      </c>
      <c r="F107" s="173"/>
      <c r="G107" s="173" t="s">
        <v>401</v>
      </c>
      <c r="H107" s="173"/>
      <c r="I107" s="211">
        <f t="shared" si="11"/>
        <v>0</v>
      </c>
      <c r="J107" s="211">
        <f t="shared" si="12"/>
        <v>0</v>
      </c>
      <c r="K107" s="401">
        <f t="shared" si="9"/>
        <v>0</v>
      </c>
      <c r="L107" s="173" t="s">
        <v>401</v>
      </c>
    </row>
    <row r="108" spans="1:12" ht="12.75">
      <c r="A108" s="380"/>
      <c r="B108" s="361" t="s">
        <v>136</v>
      </c>
      <c r="C108" s="457"/>
      <c r="D108" s="457">
        <f>1778.21-2.59</f>
        <v>1775.6200000000001</v>
      </c>
      <c r="E108" s="385">
        <f t="shared" si="10"/>
        <v>1775.6200000000001</v>
      </c>
      <c r="F108" s="173"/>
      <c r="G108" s="173" t="s">
        <v>401</v>
      </c>
      <c r="H108" s="173"/>
      <c r="I108" s="211">
        <f t="shared" si="11"/>
        <v>0</v>
      </c>
      <c r="J108" s="211">
        <f t="shared" si="12"/>
        <v>0</v>
      </c>
      <c r="K108" s="401">
        <f t="shared" si="9"/>
        <v>0</v>
      </c>
      <c r="L108" s="173" t="s">
        <v>401</v>
      </c>
    </row>
    <row r="109" spans="1:12" ht="12.75">
      <c r="A109" s="380"/>
      <c r="B109" s="361" t="s">
        <v>1205</v>
      </c>
      <c r="C109" s="457">
        <v>247.95</v>
      </c>
      <c r="D109" s="457">
        <v>24</v>
      </c>
      <c r="E109" s="385">
        <f>IF((C109+D109=0),"",C109+D109)</f>
        <v>271.95</v>
      </c>
      <c r="F109" s="173"/>
      <c r="G109" s="173" t="s">
        <v>404</v>
      </c>
      <c r="H109" s="173"/>
      <c r="I109" s="211">
        <f t="shared" si="11"/>
        <v>0</v>
      </c>
      <c r="J109" s="211">
        <f t="shared" si="12"/>
        <v>0</v>
      </c>
      <c r="K109" s="401">
        <f t="shared" si="9"/>
        <v>0</v>
      </c>
      <c r="L109" s="173" t="s">
        <v>401</v>
      </c>
    </row>
    <row r="110" spans="1:12" ht="12.75">
      <c r="A110" s="380"/>
      <c r="B110" s="361" t="s">
        <v>1259</v>
      </c>
      <c r="C110" s="457">
        <v>37</v>
      </c>
      <c r="D110" s="457">
        <v>72</v>
      </c>
      <c r="E110" s="385">
        <f>IF((C110+D110=0),"",C110+D110)</f>
        <v>109</v>
      </c>
      <c r="F110" s="173"/>
      <c r="G110" s="173" t="s">
        <v>404</v>
      </c>
      <c r="H110" s="173"/>
      <c r="I110" s="211">
        <f t="shared" si="11"/>
        <v>0</v>
      </c>
      <c r="J110" s="211">
        <f t="shared" si="12"/>
        <v>0</v>
      </c>
      <c r="K110" s="401">
        <f t="shared" si="9"/>
        <v>0</v>
      </c>
      <c r="L110" s="173" t="s">
        <v>401</v>
      </c>
    </row>
    <row r="111" spans="1:12" ht="12.75">
      <c r="A111" s="380"/>
      <c r="B111" s="361" t="s">
        <v>1206</v>
      </c>
      <c r="C111" s="457">
        <v>385</v>
      </c>
      <c r="D111" s="457"/>
      <c r="E111" s="385">
        <f>IF((C111+D111=0),"",C111+D111)</f>
        <v>385</v>
      </c>
      <c r="F111" s="173"/>
      <c r="G111" s="173" t="s">
        <v>401</v>
      </c>
      <c r="H111" s="173"/>
      <c r="I111" s="211">
        <f t="shared" si="11"/>
        <v>0</v>
      </c>
      <c r="J111" s="211">
        <f t="shared" si="12"/>
        <v>0</v>
      </c>
      <c r="K111" s="401">
        <f t="shared" si="9"/>
        <v>0</v>
      </c>
      <c r="L111" s="173" t="s">
        <v>401</v>
      </c>
    </row>
    <row r="112" spans="1:12" ht="12.75">
      <c r="A112" s="380"/>
      <c r="B112" s="361" t="s">
        <v>1209</v>
      </c>
      <c r="C112" s="457">
        <v>177.55</v>
      </c>
      <c r="D112" s="457">
        <v>0</v>
      </c>
      <c r="E112" s="385">
        <f>IF((C112+D112=0),"",C112+D112)</f>
        <v>177.55</v>
      </c>
      <c r="F112" s="173"/>
      <c r="G112" s="173" t="s">
        <v>404</v>
      </c>
      <c r="H112" s="173"/>
      <c r="I112" s="211">
        <f t="shared" si="11"/>
        <v>0</v>
      </c>
      <c r="J112" s="211">
        <f t="shared" si="12"/>
        <v>0</v>
      </c>
      <c r="K112" s="401">
        <f t="shared" si="9"/>
        <v>0</v>
      </c>
      <c r="L112" s="173" t="s">
        <v>401</v>
      </c>
    </row>
    <row r="113" spans="1:12" ht="12.75">
      <c r="A113" s="380"/>
      <c r="B113" s="361" t="s">
        <v>1207</v>
      </c>
      <c r="C113" s="457">
        <v>18</v>
      </c>
      <c r="D113" s="457">
        <v>142.38</v>
      </c>
      <c r="E113" s="385">
        <f t="shared" si="10"/>
        <v>160.38</v>
      </c>
      <c r="F113" s="173"/>
      <c r="G113" s="173" t="s">
        <v>404</v>
      </c>
      <c r="H113" s="173"/>
      <c r="I113" s="211">
        <f t="shared" si="11"/>
        <v>0</v>
      </c>
      <c r="J113" s="211">
        <f t="shared" si="12"/>
        <v>0</v>
      </c>
      <c r="K113" s="401">
        <f t="shared" si="9"/>
        <v>0</v>
      </c>
      <c r="L113" s="173" t="s">
        <v>401</v>
      </c>
    </row>
    <row r="114" spans="1:12" ht="12.75">
      <c r="A114" s="380"/>
      <c r="B114" s="361" t="s">
        <v>1210</v>
      </c>
      <c r="C114" s="457">
        <v>439.6</v>
      </c>
      <c r="D114" s="457">
        <v>60</v>
      </c>
      <c r="E114" s="385">
        <f>IF((C114+D114=0),"",C114+D114)</f>
        <v>499.6</v>
      </c>
      <c r="F114" s="173"/>
      <c r="G114" s="173" t="s">
        <v>404</v>
      </c>
      <c r="H114" s="173"/>
      <c r="I114" s="211">
        <f t="shared" si="11"/>
        <v>0</v>
      </c>
      <c r="J114" s="211">
        <f t="shared" si="12"/>
        <v>0</v>
      </c>
      <c r="K114" s="401">
        <f t="shared" si="9"/>
        <v>0</v>
      </c>
      <c r="L114" s="173" t="s">
        <v>401</v>
      </c>
    </row>
    <row r="115" spans="1:12" ht="12.75">
      <c r="A115" s="380"/>
      <c r="B115" s="361" t="s">
        <v>1208</v>
      </c>
      <c r="C115" s="457">
        <v>194.45</v>
      </c>
      <c r="D115" s="457">
        <v>43.65</v>
      </c>
      <c r="E115" s="385">
        <f t="shared" si="10"/>
        <v>238.1</v>
      </c>
      <c r="F115" s="173"/>
      <c r="G115" s="173" t="s">
        <v>404</v>
      </c>
      <c r="H115" s="173"/>
      <c r="I115" s="211">
        <f t="shared" si="11"/>
        <v>0</v>
      </c>
      <c r="J115" s="211">
        <f t="shared" si="12"/>
        <v>0</v>
      </c>
      <c r="K115" s="401">
        <f t="shared" si="9"/>
        <v>0</v>
      </c>
      <c r="L115" s="173" t="s">
        <v>401</v>
      </c>
    </row>
    <row r="116" spans="1:12" ht="12.75">
      <c r="A116" s="380"/>
      <c r="B116" s="361" t="s">
        <v>1226</v>
      </c>
      <c r="C116" s="457">
        <v>32.9</v>
      </c>
      <c r="D116" s="457">
        <f>366.48-1</f>
        <v>365.48</v>
      </c>
      <c r="E116" s="385">
        <f>IF((C116+D116=0),"",C116+D116)</f>
        <v>398.38</v>
      </c>
      <c r="F116" s="173"/>
      <c r="G116" s="173" t="s">
        <v>401</v>
      </c>
      <c r="H116" s="173"/>
      <c r="I116" s="211">
        <f t="shared" si="11"/>
        <v>0</v>
      </c>
      <c r="J116" s="211">
        <f t="shared" si="12"/>
        <v>0</v>
      </c>
      <c r="K116" s="401">
        <f t="shared" si="9"/>
        <v>0</v>
      </c>
      <c r="L116" s="173" t="s">
        <v>401</v>
      </c>
    </row>
    <row r="117" spans="1:12" ht="12.75">
      <c r="A117" s="380"/>
      <c r="B117" s="361" t="s">
        <v>1264</v>
      </c>
      <c r="C117" s="457"/>
      <c r="D117" s="457">
        <v>152</v>
      </c>
      <c r="E117" s="385">
        <f>IF((C117+D117=0),"",C117+D117)</f>
        <v>152</v>
      </c>
      <c r="F117" s="173"/>
      <c r="G117" s="173" t="s">
        <v>404</v>
      </c>
      <c r="H117" s="173"/>
      <c r="I117" s="211">
        <f t="shared" si="11"/>
        <v>0</v>
      </c>
      <c r="J117" s="211">
        <f t="shared" si="12"/>
        <v>0</v>
      </c>
      <c r="K117" s="401">
        <f>SUM(I117:J117)</f>
        <v>0</v>
      </c>
      <c r="L117" s="173" t="s">
        <v>401</v>
      </c>
    </row>
    <row r="118" spans="1:12" ht="12.75">
      <c r="A118" s="380"/>
      <c r="B118" s="361" t="s">
        <v>1211</v>
      </c>
      <c r="C118" s="457">
        <v>0.4</v>
      </c>
      <c r="D118" s="457">
        <f>98.16-0.8</f>
        <v>97.36</v>
      </c>
      <c r="E118" s="385">
        <f t="shared" si="10"/>
        <v>97.76</v>
      </c>
      <c r="F118" s="173"/>
      <c r="G118" s="173" t="s">
        <v>404</v>
      </c>
      <c r="H118" s="173"/>
      <c r="I118" s="211">
        <f t="shared" si="11"/>
        <v>0</v>
      </c>
      <c r="J118" s="211">
        <f t="shared" si="12"/>
        <v>0</v>
      </c>
      <c r="K118" s="401">
        <f t="shared" si="9"/>
        <v>0</v>
      </c>
      <c r="L118" s="173" t="s">
        <v>401</v>
      </c>
    </row>
    <row r="119" spans="1:12" ht="12.75">
      <c r="A119" s="380"/>
      <c r="B119" s="361" t="s">
        <v>1214</v>
      </c>
      <c r="C119" s="457"/>
      <c r="D119" s="457">
        <f>269.65-2.1</f>
        <v>267.54999999999995</v>
      </c>
      <c r="E119" s="385">
        <f t="shared" si="10"/>
        <v>267.54999999999995</v>
      </c>
      <c r="F119" s="173"/>
      <c r="G119" s="173" t="s">
        <v>401</v>
      </c>
      <c r="H119" s="173"/>
      <c r="I119" s="211">
        <f t="shared" si="11"/>
        <v>0</v>
      </c>
      <c r="J119" s="211">
        <f t="shared" si="12"/>
        <v>0</v>
      </c>
      <c r="K119" s="401">
        <f t="shared" si="9"/>
        <v>0</v>
      </c>
      <c r="L119" s="173" t="s">
        <v>401</v>
      </c>
    </row>
    <row r="120" spans="1:12" ht="12.75">
      <c r="A120" s="380"/>
      <c r="B120" s="361" t="s">
        <v>1215</v>
      </c>
      <c r="C120" s="457"/>
      <c r="D120" s="457">
        <v>14</v>
      </c>
      <c r="E120" s="385">
        <f t="shared" si="10"/>
        <v>14</v>
      </c>
      <c r="F120" s="173"/>
      <c r="G120" s="173" t="s">
        <v>404</v>
      </c>
      <c r="H120" s="173"/>
      <c r="I120" s="211">
        <f t="shared" si="11"/>
        <v>0</v>
      </c>
      <c r="J120" s="211">
        <f t="shared" si="12"/>
        <v>0</v>
      </c>
      <c r="K120" s="401">
        <f t="shared" si="9"/>
        <v>0</v>
      </c>
      <c r="L120" s="173" t="s">
        <v>401</v>
      </c>
    </row>
    <row r="121" spans="1:12" ht="12.75">
      <c r="A121" s="380"/>
      <c r="B121" s="361" t="s">
        <v>1212</v>
      </c>
      <c r="C121" s="457">
        <v>259</v>
      </c>
      <c r="D121" s="457">
        <v>222.3</v>
      </c>
      <c r="E121" s="385">
        <f>IF((C121+D121=0),"",C121+D121)</f>
        <v>481.3</v>
      </c>
      <c r="F121" s="173"/>
      <c r="G121" s="173" t="s">
        <v>401</v>
      </c>
      <c r="H121" s="173"/>
      <c r="I121" s="211">
        <f t="shared" si="11"/>
        <v>0</v>
      </c>
      <c r="J121" s="211">
        <f t="shared" si="12"/>
        <v>0</v>
      </c>
      <c r="K121" s="401">
        <f t="shared" si="9"/>
        <v>0</v>
      </c>
      <c r="L121" s="173" t="s">
        <v>401</v>
      </c>
    </row>
    <row r="122" spans="1:12" ht="12.75">
      <c r="A122" s="383"/>
      <c r="B122" s="361" t="s">
        <v>1216</v>
      </c>
      <c r="C122" s="457"/>
      <c r="D122" s="457">
        <f>158.83-0.1</f>
        <v>158.73000000000002</v>
      </c>
      <c r="E122" s="385">
        <f t="shared" si="10"/>
        <v>158.73000000000002</v>
      </c>
      <c r="F122" s="173"/>
      <c r="G122" s="173" t="s">
        <v>401</v>
      </c>
      <c r="H122" s="173"/>
      <c r="I122" s="211">
        <f t="shared" si="11"/>
        <v>0</v>
      </c>
      <c r="J122" s="211">
        <f t="shared" si="12"/>
        <v>0</v>
      </c>
      <c r="K122" s="401">
        <f t="shared" si="9"/>
        <v>0</v>
      </c>
      <c r="L122" s="173" t="s">
        <v>401</v>
      </c>
    </row>
    <row r="123" spans="1:12" ht="12.75">
      <c r="A123" s="383"/>
      <c r="B123" s="361" t="s">
        <v>1213</v>
      </c>
      <c r="C123" s="457"/>
      <c r="D123" s="457">
        <v>279.59</v>
      </c>
      <c r="E123" s="385">
        <f t="shared" si="10"/>
        <v>279.59</v>
      </c>
      <c r="F123" s="173"/>
      <c r="G123" s="173" t="s">
        <v>401</v>
      </c>
      <c r="H123" s="173"/>
      <c r="I123" s="211">
        <f t="shared" si="11"/>
        <v>0</v>
      </c>
      <c r="J123" s="211">
        <f t="shared" si="12"/>
        <v>0</v>
      </c>
      <c r="K123" s="401">
        <f t="shared" si="9"/>
        <v>0</v>
      </c>
      <c r="L123" s="173" t="s">
        <v>401</v>
      </c>
    </row>
    <row r="124" spans="1:12" ht="12.75">
      <c r="A124" s="380"/>
      <c r="B124" s="361" t="s">
        <v>1217</v>
      </c>
      <c r="C124" s="457">
        <v>20.87</v>
      </c>
      <c r="D124" s="457">
        <v>13.25</v>
      </c>
      <c r="E124" s="385">
        <f t="shared" si="10"/>
        <v>34.120000000000005</v>
      </c>
      <c r="F124" s="173"/>
      <c r="G124" s="173" t="s">
        <v>404</v>
      </c>
      <c r="H124" s="173" t="s">
        <v>405</v>
      </c>
      <c r="I124" s="211">
        <f t="shared" si="11"/>
        <v>0</v>
      </c>
      <c r="J124" s="211">
        <f t="shared" si="12"/>
        <v>0</v>
      </c>
      <c r="K124" s="401">
        <f t="shared" si="9"/>
        <v>0</v>
      </c>
      <c r="L124" s="173" t="s">
        <v>401</v>
      </c>
    </row>
    <row r="125" spans="1:12" ht="12.75">
      <c r="A125" s="380"/>
      <c r="B125" s="361" t="s">
        <v>1218</v>
      </c>
      <c r="C125" s="431"/>
      <c r="D125" s="431">
        <v>55</v>
      </c>
      <c r="E125" s="385">
        <f t="shared" si="10"/>
        <v>55</v>
      </c>
      <c r="F125" s="173"/>
      <c r="G125" s="173" t="s">
        <v>404</v>
      </c>
      <c r="H125" s="173"/>
      <c r="I125" s="211">
        <f t="shared" si="11"/>
        <v>0</v>
      </c>
      <c r="J125" s="211">
        <f t="shared" si="12"/>
        <v>0</v>
      </c>
      <c r="K125" s="401">
        <f t="shared" si="9"/>
        <v>0</v>
      </c>
      <c r="L125" s="173" t="s">
        <v>401</v>
      </c>
    </row>
    <row r="126" spans="1:12" ht="12.75">
      <c r="A126" s="380"/>
      <c r="B126" s="361" t="s">
        <v>1219</v>
      </c>
      <c r="C126" s="433"/>
      <c r="D126" s="433">
        <v>180</v>
      </c>
      <c r="E126" s="385">
        <f t="shared" si="10"/>
        <v>180</v>
      </c>
      <c r="F126" s="173"/>
      <c r="G126" s="173" t="s">
        <v>404</v>
      </c>
      <c r="I126" s="211">
        <f t="shared" si="11"/>
        <v>0</v>
      </c>
      <c r="J126" s="211">
        <f t="shared" si="12"/>
        <v>0</v>
      </c>
      <c r="K126" s="401">
        <f t="shared" si="9"/>
        <v>0</v>
      </c>
      <c r="L126" s="173" t="s">
        <v>401</v>
      </c>
    </row>
    <row r="127" spans="1:12" ht="12.75">
      <c r="A127" s="346"/>
      <c r="B127" s="361" t="s">
        <v>389</v>
      </c>
      <c r="C127" s="381">
        <f>SUM(C31:C126)</f>
        <v>25759.130000000005</v>
      </c>
      <c r="D127" s="381">
        <f>SUM(D31:D126)</f>
        <v>20092.690000000002</v>
      </c>
      <c r="E127" s="381">
        <f>SUM(E31:E126)</f>
        <v>45851.82</v>
      </c>
      <c r="F127" s="173"/>
      <c r="H127" s="436"/>
      <c r="I127" s="437"/>
      <c r="J127" s="437"/>
      <c r="K127" s="438">
        <f>SUM(K31:K126)</f>
        <v>43862.36000000001</v>
      </c>
      <c r="L127" s="436"/>
    </row>
    <row r="128" spans="1:12" ht="12.75">
      <c r="A128" s="408" t="s">
        <v>1220</v>
      </c>
      <c r="B128" s="348"/>
      <c r="C128" s="348"/>
      <c r="D128" s="348"/>
      <c r="E128" s="348"/>
      <c r="F128" s="173"/>
      <c r="I128" s="211"/>
      <c r="J128" s="211"/>
      <c r="K128" s="401"/>
      <c r="L128" s="173"/>
    </row>
    <row r="129" spans="1:12" ht="12.75">
      <c r="A129" s="412"/>
      <c r="B129" s="409" t="s">
        <v>1086</v>
      </c>
      <c r="C129" s="413"/>
      <c r="D129" s="413"/>
      <c r="E129" s="413"/>
      <c r="F129" s="347"/>
      <c r="H129" s="173"/>
      <c r="I129" s="211"/>
      <c r="J129" s="211"/>
      <c r="K129" s="401"/>
      <c r="L129" s="173"/>
    </row>
    <row r="130" spans="1:12" ht="12.75">
      <c r="A130" s="339"/>
      <c r="B130" s="172"/>
      <c r="C130" s="342"/>
      <c r="D130" s="342"/>
      <c r="E130" s="342"/>
      <c r="F130" s="173"/>
      <c r="G130" s="414"/>
      <c r="H130" s="173"/>
      <c r="I130" s="211"/>
      <c r="J130" s="211"/>
      <c r="K130" s="401"/>
      <c r="L130" s="173"/>
    </row>
    <row r="131" spans="1:11" ht="12.75">
      <c r="A131" s="339" t="s">
        <v>711</v>
      </c>
      <c r="B131" s="172"/>
      <c r="C131" s="342"/>
      <c r="D131" s="338"/>
      <c r="E131" s="338"/>
      <c r="F131" s="173"/>
      <c r="G131" s="173"/>
      <c r="H131" s="173"/>
      <c r="I131" s="211"/>
      <c r="J131" s="211"/>
      <c r="K131" s="401"/>
    </row>
    <row r="132" spans="1:12" ht="12.75">
      <c r="A132" s="380"/>
      <c r="B132" s="361" t="s">
        <v>137</v>
      </c>
      <c r="C132" s="457">
        <v>21</v>
      </c>
      <c r="D132" s="457">
        <v>38.7</v>
      </c>
      <c r="E132" s="402">
        <f>IF((C132+D132=0),"",C132+D132)</f>
        <v>59.7</v>
      </c>
      <c r="F132" s="173"/>
      <c r="G132" s="212" t="s">
        <v>406</v>
      </c>
      <c r="H132" s="212" t="s">
        <v>406</v>
      </c>
      <c r="I132" s="211">
        <f>SUMIF($G$9:$G$647,H132,$C$9:$C$647)</f>
        <v>188</v>
      </c>
      <c r="J132" s="211">
        <f>SUMIF($G$9:$G$647,H132,$D$9:$D$647)</f>
        <v>128.4</v>
      </c>
      <c r="K132" s="401">
        <f aca="true" t="shared" si="13" ref="K132:K170">SUM(I132:J132)</f>
        <v>316.4</v>
      </c>
      <c r="L132" s="212" t="s">
        <v>406</v>
      </c>
    </row>
    <row r="133" spans="1:12" ht="12.75">
      <c r="A133" s="380"/>
      <c r="B133" s="361" t="s">
        <v>138</v>
      </c>
      <c r="C133" s="457">
        <v>0</v>
      </c>
      <c r="D133" s="457">
        <v>89.7</v>
      </c>
      <c r="E133" s="402">
        <f>IF((C133+D133=0),"",C133+D133)</f>
        <v>89.7</v>
      </c>
      <c r="F133" s="173"/>
      <c r="G133" s="212" t="s">
        <v>406</v>
      </c>
      <c r="H133" s="173"/>
      <c r="I133" s="211">
        <f>SUMIF($G$9:$G$647,H133,$C$9:$C$647)</f>
        <v>0</v>
      </c>
      <c r="J133" s="211">
        <f>SUMIF($G$9:$G$647,H133,$D$9:$D$647)</f>
        <v>0</v>
      </c>
      <c r="K133" s="401">
        <f t="shared" si="13"/>
        <v>0</v>
      </c>
      <c r="L133" s="212" t="s">
        <v>406</v>
      </c>
    </row>
    <row r="134" spans="1:12" ht="12.75">
      <c r="A134" s="380"/>
      <c r="B134" s="361" t="s">
        <v>139</v>
      </c>
      <c r="C134" s="457">
        <f>169.5-2.5</f>
        <v>167</v>
      </c>
      <c r="D134" s="457">
        <v>0</v>
      </c>
      <c r="E134" s="402">
        <f>IF((C134+D134=0),"",C134+D134)</f>
        <v>167</v>
      </c>
      <c r="F134" s="173"/>
      <c r="G134" s="212" t="s">
        <v>406</v>
      </c>
      <c r="H134" s="173"/>
      <c r="I134" s="211">
        <f>SUMIF($G$9:$G$647,H134,$C$9:$C$647)</f>
        <v>0</v>
      </c>
      <c r="J134" s="211">
        <f>SUMIF($G$9:$G$647,H134,$D$9:$D$647)</f>
        <v>0</v>
      </c>
      <c r="K134" s="401">
        <f t="shared" si="13"/>
        <v>0</v>
      </c>
      <c r="L134" s="212" t="s">
        <v>406</v>
      </c>
    </row>
    <row r="135" spans="1:12" ht="12.75">
      <c r="A135" s="339"/>
      <c r="B135" s="361" t="s">
        <v>389</v>
      </c>
      <c r="C135" s="381">
        <f>SUM(C132:C134)</f>
        <v>188</v>
      </c>
      <c r="D135" s="381">
        <f>SUM(D132:D134)</f>
        <v>128.4</v>
      </c>
      <c r="E135" s="381">
        <f>SUM(E132:E134)</f>
        <v>316.4</v>
      </c>
      <c r="F135" s="173"/>
      <c r="H135" s="436"/>
      <c r="I135" s="437"/>
      <c r="J135" s="437"/>
      <c r="K135" s="438">
        <f>SUM(K132:K134)</f>
        <v>316.4</v>
      </c>
      <c r="L135" s="436"/>
    </row>
    <row r="136" spans="1:11" ht="12.75">
      <c r="A136" s="339"/>
      <c r="B136" s="172"/>
      <c r="C136" s="342"/>
      <c r="D136" s="342"/>
      <c r="E136" s="342"/>
      <c r="F136" s="173"/>
      <c r="G136" s="173"/>
      <c r="H136" s="173"/>
      <c r="I136" s="211"/>
      <c r="J136" s="211"/>
      <c r="K136" s="401"/>
    </row>
    <row r="137" spans="1:11" ht="12.75">
      <c r="A137" s="339" t="s">
        <v>407</v>
      </c>
      <c r="B137" s="172"/>
      <c r="C137" s="342"/>
      <c r="D137" s="338"/>
      <c r="E137" s="338"/>
      <c r="F137" s="173"/>
      <c r="H137" s="173"/>
      <c r="I137" s="211"/>
      <c r="J137" s="211"/>
      <c r="K137" s="401"/>
    </row>
    <row r="138" spans="1:12" ht="12.75">
      <c r="A138" s="380"/>
      <c r="B138" s="361" t="s">
        <v>1294</v>
      </c>
      <c r="C138" s="381">
        <v>72</v>
      </c>
      <c r="D138" s="381">
        <v>38</v>
      </c>
      <c r="E138" s="402">
        <f aca="true" t="shared" si="14" ref="E138:E152">IF((C138+D138=0),"",C138+D138)</f>
        <v>110</v>
      </c>
      <c r="F138" s="173"/>
      <c r="G138" s="173" t="s">
        <v>408</v>
      </c>
      <c r="H138" s="173" t="s">
        <v>411</v>
      </c>
      <c r="I138" s="211">
        <f aca="true" t="shared" si="15" ref="I138:I152">SUMIF($G$9:$G$647,H138,$C$9:$C$647)</f>
        <v>96</v>
      </c>
      <c r="J138" s="211">
        <f aca="true" t="shared" si="16" ref="J138:J152">SUMIF($G$9:$G$647,H138,$D$9:$D$647)</f>
        <v>47.05</v>
      </c>
      <c r="K138" s="401">
        <f t="shared" si="13"/>
        <v>143.05</v>
      </c>
      <c r="L138" s="173" t="s">
        <v>409</v>
      </c>
    </row>
    <row r="139" spans="1:12" ht="12.75">
      <c r="A139" s="380"/>
      <c r="B139" s="361" t="s">
        <v>1221</v>
      </c>
      <c r="C139" s="381">
        <v>81.65</v>
      </c>
      <c r="D139" s="381">
        <v>61.1</v>
      </c>
      <c r="E139" s="402">
        <f t="shared" si="14"/>
        <v>142.75</v>
      </c>
      <c r="F139" s="173"/>
      <c r="G139" s="173" t="s">
        <v>410</v>
      </c>
      <c r="H139" s="173" t="s">
        <v>412</v>
      </c>
      <c r="I139" s="211">
        <f t="shared" si="15"/>
        <v>14.65</v>
      </c>
      <c r="J139" s="211">
        <f t="shared" si="16"/>
        <v>6.5</v>
      </c>
      <c r="K139" s="401">
        <f t="shared" si="13"/>
        <v>21.15</v>
      </c>
      <c r="L139" s="173" t="s">
        <v>409</v>
      </c>
    </row>
    <row r="140" spans="1:12" ht="12.75">
      <c r="A140" s="380"/>
      <c r="B140" s="361" t="s">
        <v>140</v>
      </c>
      <c r="C140" s="381">
        <v>96</v>
      </c>
      <c r="D140" s="381">
        <v>47.05</v>
      </c>
      <c r="E140" s="402">
        <f t="shared" si="14"/>
        <v>143.05</v>
      </c>
      <c r="F140" s="173"/>
      <c r="G140" s="173" t="s">
        <v>411</v>
      </c>
      <c r="H140" s="173" t="s">
        <v>408</v>
      </c>
      <c r="I140" s="211">
        <f t="shared" si="15"/>
        <v>72</v>
      </c>
      <c r="J140" s="211">
        <f t="shared" si="16"/>
        <v>38</v>
      </c>
      <c r="K140" s="401">
        <f t="shared" si="13"/>
        <v>110</v>
      </c>
      <c r="L140" s="173" t="s">
        <v>409</v>
      </c>
    </row>
    <row r="141" spans="1:12" ht="12.75">
      <c r="A141" s="380"/>
      <c r="B141" s="361" t="s">
        <v>141</v>
      </c>
      <c r="C141" s="381">
        <f>15.35-0.7</f>
        <v>14.65</v>
      </c>
      <c r="D141" s="381">
        <v>6.5</v>
      </c>
      <c r="E141" s="402">
        <f t="shared" si="14"/>
        <v>21.15</v>
      </c>
      <c r="F141" s="173"/>
      <c r="G141" s="173" t="s">
        <v>412</v>
      </c>
      <c r="H141" s="173" t="s">
        <v>413</v>
      </c>
      <c r="I141" s="211">
        <f t="shared" si="15"/>
        <v>90</v>
      </c>
      <c r="J141" s="211">
        <f t="shared" si="16"/>
        <v>84</v>
      </c>
      <c r="K141" s="401">
        <f t="shared" si="13"/>
        <v>174</v>
      </c>
      <c r="L141" s="173" t="s">
        <v>409</v>
      </c>
    </row>
    <row r="142" spans="1:12" ht="12.75">
      <c r="A142" s="380"/>
      <c r="B142" s="361" t="s">
        <v>142</v>
      </c>
      <c r="C142" s="381">
        <v>90</v>
      </c>
      <c r="D142" s="381">
        <v>84</v>
      </c>
      <c r="E142" s="402">
        <f t="shared" si="14"/>
        <v>174</v>
      </c>
      <c r="F142" s="173"/>
      <c r="G142" s="173" t="s">
        <v>413</v>
      </c>
      <c r="H142" s="173" t="s">
        <v>414</v>
      </c>
      <c r="I142" s="211">
        <f t="shared" si="15"/>
        <v>27</v>
      </c>
      <c r="J142" s="211">
        <f t="shared" si="16"/>
        <v>18</v>
      </c>
      <c r="K142" s="401">
        <f t="shared" si="13"/>
        <v>45</v>
      </c>
      <c r="L142" s="173" t="s">
        <v>409</v>
      </c>
    </row>
    <row r="143" spans="1:12" ht="12.75">
      <c r="A143" s="380"/>
      <c r="B143" s="361" t="s">
        <v>143</v>
      </c>
      <c r="C143" s="381">
        <v>27</v>
      </c>
      <c r="D143" s="381">
        <v>18</v>
      </c>
      <c r="E143" s="402">
        <f t="shared" si="14"/>
        <v>45</v>
      </c>
      <c r="F143" s="173"/>
      <c r="G143" s="173" t="s">
        <v>414</v>
      </c>
      <c r="H143" s="173" t="s">
        <v>416</v>
      </c>
      <c r="I143" s="211">
        <f t="shared" si="15"/>
        <v>52.6</v>
      </c>
      <c r="J143" s="211">
        <f t="shared" si="16"/>
        <v>46.85</v>
      </c>
      <c r="K143" s="401">
        <f t="shared" si="13"/>
        <v>99.45</v>
      </c>
      <c r="L143" s="173" t="s">
        <v>409</v>
      </c>
    </row>
    <row r="144" spans="1:12" ht="12.75">
      <c r="A144" s="380"/>
      <c r="B144" s="361" t="s">
        <v>1109</v>
      </c>
      <c r="C144" s="381">
        <v>43</v>
      </c>
      <c r="D144" s="381">
        <v>30</v>
      </c>
      <c r="E144" s="402">
        <f t="shared" si="14"/>
        <v>73</v>
      </c>
      <c r="F144" s="173"/>
      <c r="G144" s="173" t="s">
        <v>415</v>
      </c>
      <c r="H144" s="173" t="s">
        <v>417</v>
      </c>
      <c r="I144" s="211">
        <f t="shared" si="15"/>
        <v>149.7</v>
      </c>
      <c r="J144" s="211">
        <f t="shared" si="16"/>
        <v>103</v>
      </c>
      <c r="K144" s="401">
        <f t="shared" si="13"/>
        <v>252.7</v>
      </c>
      <c r="L144" s="173" t="s">
        <v>409</v>
      </c>
    </row>
    <row r="145" spans="1:12" ht="12.75">
      <c r="A145" s="380"/>
      <c r="B145" s="361" t="s">
        <v>1087</v>
      </c>
      <c r="C145" s="381">
        <v>52.6</v>
      </c>
      <c r="D145" s="381">
        <f>47.85-1</f>
        <v>46.85</v>
      </c>
      <c r="E145" s="402">
        <f t="shared" si="14"/>
        <v>99.45</v>
      </c>
      <c r="F145" s="173"/>
      <c r="G145" s="173" t="s">
        <v>416</v>
      </c>
      <c r="H145" s="173" t="s">
        <v>418</v>
      </c>
      <c r="I145" s="211">
        <f t="shared" si="15"/>
        <v>48</v>
      </c>
      <c r="J145" s="211">
        <f t="shared" si="16"/>
        <v>35.65</v>
      </c>
      <c r="K145" s="401">
        <f t="shared" si="13"/>
        <v>83.65</v>
      </c>
      <c r="L145" s="173" t="s">
        <v>409</v>
      </c>
    </row>
    <row r="146" spans="1:12" ht="12.75">
      <c r="A146" s="380"/>
      <c r="B146" s="361" t="s">
        <v>144</v>
      </c>
      <c r="C146" s="381">
        <v>149.7</v>
      </c>
      <c r="D146" s="381">
        <v>103</v>
      </c>
      <c r="E146" s="402">
        <f t="shared" si="14"/>
        <v>252.7</v>
      </c>
      <c r="F146" s="173"/>
      <c r="G146" s="173" t="s">
        <v>417</v>
      </c>
      <c r="H146" s="173" t="s">
        <v>1168</v>
      </c>
      <c r="I146" s="211">
        <f t="shared" si="15"/>
        <v>98</v>
      </c>
      <c r="J146" s="211">
        <f t="shared" si="16"/>
        <v>82</v>
      </c>
      <c r="K146" s="401">
        <f t="shared" si="13"/>
        <v>180</v>
      </c>
      <c r="L146" s="173" t="s">
        <v>409</v>
      </c>
    </row>
    <row r="147" spans="1:12" ht="12.75">
      <c r="A147" s="380"/>
      <c r="B147" s="361" t="s">
        <v>145</v>
      </c>
      <c r="C147" s="381">
        <v>48</v>
      </c>
      <c r="D147" s="381">
        <f>36-0.35</f>
        <v>35.65</v>
      </c>
      <c r="E147" s="402">
        <f t="shared" si="14"/>
        <v>83.65</v>
      </c>
      <c r="F147" s="173"/>
      <c r="G147" s="173" t="s">
        <v>418</v>
      </c>
      <c r="H147" s="173" t="s">
        <v>410</v>
      </c>
      <c r="I147" s="211">
        <f t="shared" si="15"/>
        <v>81.65</v>
      </c>
      <c r="J147" s="211">
        <f t="shared" si="16"/>
        <v>61.1</v>
      </c>
      <c r="K147" s="401">
        <f t="shared" si="13"/>
        <v>142.75</v>
      </c>
      <c r="L147" s="173" t="s">
        <v>409</v>
      </c>
    </row>
    <row r="148" spans="1:12" ht="12.75">
      <c r="A148" s="380"/>
      <c r="B148" s="361" t="s">
        <v>146</v>
      </c>
      <c r="C148" s="381">
        <f>99-1</f>
        <v>98</v>
      </c>
      <c r="D148" s="381">
        <v>82</v>
      </c>
      <c r="E148" s="402">
        <f t="shared" si="14"/>
        <v>180</v>
      </c>
      <c r="F148" s="173"/>
      <c r="G148" s="173" t="s">
        <v>1168</v>
      </c>
      <c r="H148" s="173" t="s">
        <v>419</v>
      </c>
      <c r="I148" s="211">
        <f t="shared" si="15"/>
        <v>126.3</v>
      </c>
      <c r="J148" s="211">
        <f t="shared" si="16"/>
        <v>70.25</v>
      </c>
      <c r="K148" s="401">
        <f t="shared" si="13"/>
        <v>196.55</v>
      </c>
      <c r="L148" s="173" t="s">
        <v>409</v>
      </c>
    </row>
    <row r="149" spans="1:12" ht="12.75">
      <c r="A149" s="380"/>
      <c r="B149" s="361" t="s">
        <v>1174</v>
      </c>
      <c r="C149" s="381">
        <v>126.3</v>
      </c>
      <c r="D149" s="381">
        <f>71.3-1.05</f>
        <v>70.25</v>
      </c>
      <c r="E149" s="402">
        <f t="shared" si="14"/>
        <v>196.55</v>
      </c>
      <c r="F149" s="173"/>
      <c r="G149" s="173" t="s">
        <v>419</v>
      </c>
      <c r="H149" s="173" t="s">
        <v>415</v>
      </c>
      <c r="I149" s="211">
        <f t="shared" si="15"/>
        <v>43</v>
      </c>
      <c r="J149" s="211">
        <f t="shared" si="16"/>
        <v>30</v>
      </c>
      <c r="K149" s="401">
        <f t="shared" si="13"/>
        <v>73</v>
      </c>
      <c r="L149" s="173" t="s">
        <v>409</v>
      </c>
    </row>
    <row r="150" spans="1:12" ht="12.75">
      <c r="A150" s="380"/>
      <c r="B150" s="361" t="s">
        <v>147</v>
      </c>
      <c r="C150" s="381">
        <v>100</v>
      </c>
      <c r="D150" s="381">
        <v>65</v>
      </c>
      <c r="E150" s="402">
        <f t="shared" si="14"/>
        <v>165</v>
      </c>
      <c r="F150" s="173"/>
      <c r="G150" s="173" t="s">
        <v>420</v>
      </c>
      <c r="H150" s="173" t="s">
        <v>420</v>
      </c>
      <c r="I150" s="211">
        <f t="shared" si="15"/>
        <v>100</v>
      </c>
      <c r="J150" s="211">
        <f t="shared" si="16"/>
        <v>65</v>
      </c>
      <c r="K150" s="401">
        <f t="shared" si="13"/>
        <v>165</v>
      </c>
      <c r="L150" s="173" t="s">
        <v>409</v>
      </c>
    </row>
    <row r="151" spans="1:12" ht="12.75">
      <c r="A151" s="380"/>
      <c r="B151" s="361" t="s">
        <v>1088</v>
      </c>
      <c r="C151" s="381">
        <v>25.35</v>
      </c>
      <c r="D151" s="381">
        <v>17</v>
      </c>
      <c r="E151" s="402">
        <f t="shared" si="14"/>
        <v>42.35</v>
      </c>
      <c r="F151" s="173"/>
      <c r="G151" s="173" t="s">
        <v>421</v>
      </c>
      <c r="H151" s="173" t="s">
        <v>421</v>
      </c>
      <c r="I151" s="211">
        <f t="shared" si="15"/>
        <v>25.35</v>
      </c>
      <c r="J151" s="211">
        <f t="shared" si="16"/>
        <v>17</v>
      </c>
      <c r="K151" s="401">
        <f t="shared" si="13"/>
        <v>42.35</v>
      </c>
      <c r="L151" s="173" t="s">
        <v>409</v>
      </c>
    </row>
    <row r="152" spans="1:12" ht="12.75">
      <c r="A152" s="380"/>
      <c r="B152" s="361" t="s">
        <v>148</v>
      </c>
      <c r="C152" s="381">
        <v>38</v>
      </c>
      <c r="D152" s="381">
        <v>18.35</v>
      </c>
      <c r="E152" s="402">
        <f t="shared" si="14"/>
        <v>56.35</v>
      </c>
      <c r="F152" s="173"/>
      <c r="G152" s="173" t="s">
        <v>422</v>
      </c>
      <c r="H152" s="173" t="s">
        <v>422</v>
      </c>
      <c r="I152" s="211">
        <f t="shared" si="15"/>
        <v>38</v>
      </c>
      <c r="J152" s="211">
        <f t="shared" si="16"/>
        <v>18.35</v>
      </c>
      <c r="K152" s="401">
        <f t="shared" si="13"/>
        <v>56.35</v>
      </c>
      <c r="L152" s="173" t="s">
        <v>409</v>
      </c>
    </row>
    <row r="153" spans="1:12" ht="12.75">
      <c r="A153" s="339"/>
      <c r="B153" s="361" t="s">
        <v>389</v>
      </c>
      <c r="C153" s="381">
        <f>SUM(C138:C152)</f>
        <v>1062.25</v>
      </c>
      <c r="D153" s="381">
        <f>SUM(D138:D152)</f>
        <v>722.75</v>
      </c>
      <c r="E153" s="381">
        <f>SUM(E138:E152)</f>
        <v>1785</v>
      </c>
      <c r="F153" s="173"/>
      <c r="H153" s="436"/>
      <c r="I153" s="437"/>
      <c r="J153" s="437"/>
      <c r="K153" s="438">
        <f>SUM(K138:K152)</f>
        <v>1784.9999999999998</v>
      </c>
      <c r="L153" s="436"/>
    </row>
    <row r="154" spans="1:12" ht="12.75">
      <c r="A154" s="339"/>
      <c r="B154" s="172"/>
      <c r="C154" s="342"/>
      <c r="D154" s="342"/>
      <c r="E154" s="342"/>
      <c r="F154" s="173"/>
      <c r="G154" s="173"/>
      <c r="H154" s="173"/>
      <c r="I154" s="211"/>
      <c r="J154" s="211"/>
      <c r="K154" s="401"/>
      <c r="L154" s="173"/>
    </row>
    <row r="155" spans="1:11" ht="12.75">
      <c r="A155" s="417" t="s">
        <v>423</v>
      </c>
      <c r="B155" s="418"/>
      <c r="C155" s="342"/>
      <c r="D155" s="338"/>
      <c r="E155" s="338"/>
      <c r="F155" s="173"/>
      <c r="I155" s="211"/>
      <c r="J155" s="211"/>
      <c r="K155" s="401"/>
    </row>
    <row r="156" spans="1:12" ht="12.75">
      <c r="A156" s="351"/>
      <c r="B156" s="361" t="s">
        <v>149</v>
      </c>
      <c r="C156" s="381">
        <v>0</v>
      </c>
      <c r="D156" s="381">
        <v>62.9</v>
      </c>
      <c r="E156" s="385">
        <f>IF((C156+D156=0),"",C156+D156)</f>
        <v>62.9</v>
      </c>
      <c r="F156" s="173"/>
      <c r="G156" s="173" t="s">
        <v>424</v>
      </c>
      <c r="H156" s="173" t="s">
        <v>424</v>
      </c>
      <c r="I156" s="211">
        <f>SUMIF($G$9:$G$647,H156,$C$9:$C$647)</f>
        <v>51.35</v>
      </c>
      <c r="J156" s="211">
        <f>SUMIF($G$9:$G$647,H156,$D$9:$D$647)</f>
        <v>62.9</v>
      </c>
      <c r="K156" s="401">
        <f>SUM(I156:J156)</f>
        <v>114.25</v>
      </c>
      <c r="L156" s="173" t="s">
        <v>425</v>
      </c>
    </row>
    <row r="157" spans="1:12" ht="12.75">
      <c r="A157" s="351"/>
      <c r="B157" s="361" t="s">
        <v>1110</v>
      </c>
      <c r="C157" s="381">
        <f>51.75-0.4</f>
        <v>51.35</v>
      </c>
      <c r="D157" s="381">
        <v>0</v>
      </c>
      <c r="E157" s="385">
        <f>IF((C157+D157=0),"",C157+D157)</f>
        <v>51.35</v>
      </c>
      <c r="F157" s="173"/>
      <c r="G157" s="173" t="s">
        <v>424</v>
      </c>
      <c r="I157" s="211">
        <f>SUMIF($G$9:$G$647,H157,$C$9:$C$647)</f>
        <v>0</v>
      </c>
      <c r="J157" s="211">
        <f>SUMIF($G$9:$G$647,H157,$D$9:$D$647)</f>
        <v>0</v>
      </c>
      <c r="K157" s="401">
        <f>SUM(I157:J157)</f>
        <v>0</v>
      </c>
      <c r="L157" s="173" t="s">
        <v>425</v>
      </c>
    </row>
    <row r="158" spans="1:12" ht="12.75">
      <c r="A158" s="339"/>
      <c r="B158" s="361" t="s">
        <v>389</v>
      </c>
      <c r="C158" s="381">
        <f>SUM(C156:C157)</f>
        <v>51.35</v>
      </c>
      <c r="D158" s="381">
        <f>SUM(D156:D157)</f>
        <v>62.9</v>
      </c>
      <c r="E158" s="381">
        <f>SUM(E156:E157)</f>
        <v>114.25</v>
      </c>
      <c r="F158" s="173"/>
      <c r="H158" s="436"/>
      <c r="I158" s="437"/>
      <c r="J158" s="437"/>
      <c r="K158" s="438">
        <f>SUM(K156:K157)</f>
        <v>114.25</v>
      </c>
      <c r="L158" s="436"/>
    </row>
    <row r="159" spans="1:12" ht="12.75">
      <c r="A159" s="339"/>
      <c r="B159" s="172"/>
      <c r="C159" s="342"/>
      <c r="D159" s="342"/>
      <c r="E159" s="342"/>
      <c r="F159" s="173"/>
      <c r="G159" s="173"/>
      <c r="H159" s="173"/>
      <c r="I159" s="211"/>
      <c r="J159" s="211"/>
      <c r="K159" s="401"/>
      <c r="L159" s="173"/>
    </row>
    <row r="160" spans="1:11" ht="12.75">
      <c r="A160" s="417" t="s">
        <v>426</v>
      </c>
      <c r="B160" s="418"/>
      <c r="C160" s="342"/>
      <c r="D160" s="338"/>
      <c r="E160" s="338"/>
      <c r="F160" s="173"/>
      <c r="H160" s="173"/>
      <c r="I160" s="211"/>
      <c r="J160" s="211"/>
      <c r="K160" s="401"/>
    </row>
    <row r="161" spans="1:12" ht="12.75">
      <c r="A161" s="351"/>
      <c r="B161" s="361" t="s">
        <v>150</v>
      </c>
      <c r="C161" s="433">
        <v>47.25</v>
      </c>
      <c r="D161" s="433">
        <v>31</v>
      </c>
      <c r="E161" s="385">
        <f>IF((C161+D161=0),"",C161+D161)</f>
        <v>78.25</v>
      </c>
      <c r="F161" s="173"/>
      <c r="G161" s="173" t="s">
        <v>427</v>
      </c>
      <c r="H161" s="173" t="s">
        <v>427</v>
      </c>
      <c r="I161" s="211">
        <f>SUMIF($G$9:$G$647,H161,$C$9:$C$647)</f>
        <v>47.25</v>
      </c>
      <c r="J161" s="211">
        <f>SUMIF($G$9:$G$647,H161,$D$9:$D$647)</f>
        <v>31</v>
      </c>
      <c r="K161" s="401">
        <f t="shared" si="13"/>
        <v>78.25</v>
      </c>
      <c r="L161" s="173" t="s">
        <v>428</v>
      </c>
    </row>
    <row r="162" spans="1:12" ht="12.75">
      <c r="A162" s="351"/>
      <c r="B162" s="361" t="s">
        <v>151</v>
      </c>
      <c r="C162" s="433">
        <v>39</v>
      </c>
      <c r="D162" s="433">
        <v>32.5</v>
      </c>
      <c r="E162" s="385">
        <f>IF((C162+D162=0),"",C162+D162)</f>
        <v>71.5</v>
      </c>
      <c r="F162" s="173"/>
      <c r="G162" s="173" t="s">
        <v>429</v>
      </c>
      <c r="H162" s="173" t="s">
        <v>429</v>
      </c>
      <c r="I162" s="211">
        <f>SUMIF($G$9:$G$647,H162,$C$9:$C$647)</f>
        <v>39</v>
      </c>
      <c r="J162" s="211">
        <f>SUMIF($G$9:$G$647,H162,$D$9:$D$647)</f>
        <v>32.5</v>
      </c>
      <c r="K162" s="401">
        <f t="shared" si="13"/>
        <v>71.5</v>
      </c>
      <c r="L162" s="173" t="s">
        <v>428</v>
      </c>
    </row>
    <row r="163" spans="1:12" ht="12.75">
      <c r="A163" s="351"/>
      <c r="B163" s="361" t="s">
        <v>152</v>
      </c>
      <c r="C163" s="433">
        <v>16.7</v>
      </c>
      <c r="D163" s="433">
        <v>5</v>
      </c>
      <c r="E163" s="385">
        <f>IF((C163+D163=0),"",C163+D163)</f>
        <v>21.7</v>
      </c>
      <c r="F163" s="173"/>
      <c r="G163" s="173" t="s">
        <v>430</v>
      </c>
      <c r="H163" s="173" t="s">
        <v>430</v>
      </c>
      <c r="I163" s="211">
        <f>SUMIF($G$9:$G$647,H163,$C$9:$C$647)</f>
        <v>16.7</v>
      </c>
      <c r="J163" s="211">
        <f>SUMIF($G$9:$G$647,H163,$D$9:$D$647)</f>
        <v>5</v>
      </c>
      <c r="K163" s="401">
        <f t="shared" si="13"/>
        <v>21.7</v>
      </c>
      <c r="L163" s="173" t="s">
        <v>428</v>
      </c>
    </row>
    <row r="164" spans="1:12" ht="12.75">
      <c r="A164" s="351"/>
      <c r="B164" s="361" t="s">
        <v>1258</v>
      </c>
      <c r="C164" s="433">
        <v>0</v>
      </c>
      <c r="D164" s="433">
        <v>0</v>
      </c>
      <c r="E164" s="385">
        <f>IF((C164+D164=0),"",C164+D164)</f>
      </c>
      <c r="F164" s="173"/>
      <c r="G164" s="173" t="s">
        <v>431</v>
      </c>
      <c r="H164" s="173" t="s">
        <v>431</v>
      </c>
      <c r="I164" s="211">
        <f>SUMIF($G$9:$G$647,H164,$C$9:$C$647)</f>
        <v>0</v>
      </c>
      <c r="J164" s="211">
        <f>SUMIF($G$9:$G$647,H164,$D$9:$D$647)</f>
        <v>0</v>
      </c>
      <c r="K164" s="401">
        <f t="shared" si="13"/>
        <v>0</v>
      </c>
      <c r="L164" s="173" t="s">
        <v>428</v>
      </c>
    </row>
    <row r="165" spans="1:12" ht="12.75">
      <c r="A165" s="339"/>
      <c r="B165" s="361" t="s">
        <v>389</v>
      </c>
      <c r="C165" s="381">
        <f>SUM(C161:C164)</f>
        <v>102.95</v>
      </c>
      <c r="D165" s="381">
        <f>SUM(D161:D164)</f>
        <v>68.5</v>
      </c>
      <c r="E165" s="381">
        <f>SUM(E161:E164)</f>
        <v>171.45</v>
      </c>
      <c r="F165" s="173"/>
      <c r="H165" s="436"/>
      <c r="I165" s="437"/>
      <c r="J165" s="437"/>
      <c r="K165" s="438">
        <f>SUM(K161:K164)</f>
        <v>171.45</v>
      </c>
      <c r="L165" s="436"/>
    </row>
    <row r="166" spans="1:12" ht="12.75">
      <c r="A166" s="339"/>
      <c r="B166" s="172"/>
      <c r="C166" s="342"/>
      <c r="D166" s="342"/>
      <c r="E166" s="342"/>
      <c r="F166" s="173"/>
      <c r="G166" s="173"/>
      <c r="H166" s="173"/>
      <c r="I166" s="211"/>
      <c r="J166" s="211"/>
      <c r="K166" s="401"/>
      <c r="L166" s="173"/>
    </row>
    <row r="167" spans="1:11" ht="12.75">
      <c r="A167" s="417" t="s">
        <v>432</v>
      </c>
      <c r="B167" s="418"/>
      <c r="C167" s="342"/>
      <c r="D167" s="338"/>
      <c r="E167" s="338"/>
      <c r="F167" s="173"/>
      <c r="H167" s="173"/>
      <c r="I167" s="211"/>
      <c r="J167" s="211"/>
      <c r="K167" s="401"/>
    </row>
    <row r="168" spans="1:12" ht="12.75">
      <c r="A168" s="351"/>
      <c r="B168" s="361" t="s">
        <v>153</v>
      </c>
      <c r="C168" s="381">
        <v>5</v>
      </c>
      <c r="D168" s="381">
        <v>8</v>
      </c>
      <c r="E168" s="385">
        <f>IF((C168+D168=0),"",C168+D168)</f>
        <v>13</v>
      </c>
      <c r="F168" s="173"/>
      <c r="G168" s="173" t="s">
        <v>1248</v>
      </c>
      <c r="H168" s="173" t="s">
        <v>1248</v>
      </c>
      <c r="I168" s="211">
        <f>SUMIF($G$9:$G$647,H168,$C$9:$C$647)</f>
        <v>5</v>
      </c>
      <c r="J168" s="211">
        <f>SUMIF($G$9:$G$647,H168,$D$9:$D$647)</f>
        <v>8</v>
      </c>
      <c r="K168" s="401">
        <f t="shared" si="13"/>
        <v>13</v>
      </c>
      <c r="L168" s="173" t="s">
        <v>433</v>
      </c>
    </row>
    <row r="169" spans="1:12" ht="12.75">
      <c r="A169" s="351"/>
      <c r="B169" s="361" t="s">
        <v>154</v>
      </c>
      <c r="C169" s="381">
        <v>12</v>
      </c>
      <c r="D169" s="381">
        <v>5</v>
      </c>
      <c r="E169" s="385">
        <f>IF((C169+D169=0),"",C169+D169)</f>
        <v>17</v>
      </c>
      <c r="F169" s="173"/>
      <c r="G169" s="173" t="s">
        <v>434</v>
      </c>
      <c r="H169" s="173" t="s">
        <v>434</v>
      </c>
      <c r="I169" s="211">
        <f>SUMIF($G$9:$G$647,H169,$C$9:$C$647)</f>
        <v>12</v>
      </c>
      <c r="J169" s="211">
        <f>SUMIF($G$9:$G$647,H169,$D$9:$D$647)</f>
        <v>5</v>
      </c>
      <c r="K169" s="401">
        <f t="shared" si="13"/>
        <v>17</v>
      </c>
      <c r="L169" s="173" t="s">
        <v>433</v>
      </c>
    </row>
    <row r="170" spans="1:12" ht="12.75">
      <c r="A170" s="351"/>
      <c r="B170" s="361" t="s">
        <v>155</v>
      </c>
      <c r="C170" s="381">
        <f>16+1</f>
        <v>17</v>
      </c>
      <c r="D170" s="381">
        <v>10</v>
      </c>
      <c r="E170" s="385">
        <f>IF((C170+D170=0),"",C170+D170)</f>
        <v>27</v>
      </c>
      <c r="F170" s="173"/>
      <c r="G170" s="173" t="s">
        <v>435</v>
      </c>
      <c r="H170" s="173" t="s">
        <v>435</v>
      </c>
      <c r="I170" s="211">
        <f>SUMIF($G$9:$G$647,H170,$C$9:$C$647)</f>
        <v>17</v>
      </c>
      <c r="J170" s="211">
        <f>SUMIF($G$9:$G$647,H170,$D$9:$D$647)</f>
        <v>10</v>
      </c>
      <c r="K170" s="401">
        <f t="shared" si="13"/>
        <v>27</v>
      </c>
      <c r="L170" s="173" t="s">
        <v>433</v>
      </c>
    </row>
    <row r="171" spans="1:12" ht="12.75">
      <c r="A171" s="339"/>
      <c r="B171" s="361" t="s">
        <v>389</v>
      </c>
      <c r="C171" s="420">
        <f>SUM(C168:C170)</f>
        <v>34</v>
      </c>
      <c r="D171" s="420">
        <f>SUM(D168:D170)</f>
        <v>23</v>
      </c>
      <c r="E171" s="381">
        <f>SUM(E168:E170)</f>
        <v>57</v>
      </c>
      <c r="F171" s="173"/>
      <c r="H171" s="436"/>
      <c r="I171" s="437"/>
      <c r="J171" s="437"/>
      <c r="K171" s="438">
        <f>SUM(K168:K170)</f>
        <v>57</v>
      </c>
      <c r="L171" s="436"/>
    </row>
    <row r="172" spans="1:12" ht="12.75">
      <c r="A172" s="339"/>
      <c r="B172" s="172"/>
      <c r="C172" s="342"/>
      <c r="D172" s="342"/>
      <c r="E172" s="342"/>
      <c r="F172" s="173"/>
      <c r="G172" s="173"/>
      <c r="H172" s="173"/>
      <c r="I172" s="211"/>
      <c r="J172" s="211"/>
      <c r="K172" s="401"/>
      <c r="L172" s="173"/>
    </row>
    <row r="173" spans="1:10" ht="12.75">
      <c r="A173" s="339" t="s">
        <v>436</v>
      </c>
      <c r="B173" s="172"/>
      <c r="C173" s="342"/>
      <c r="D173" s="338"/>
      <c r="E173" s="338"/>
      <c r="F173" s="173"/>
      <c r="I173" s="211"/>
      <c r="J173" s="211"/>
    </row>
    <row r="174" spans="1:12" ht="12.75">
      <c r="A174" s="351"/>
      <c r="B174" s="361" t="s">
        <v>1070</v>
      </c>
      <c r="C174" s="381">
        <v>0</v>
      </c>
      <c r="D174" s="381">
        <f>123.75-0.65</f>
        <v>123.1</v>
      </c>
      <c r="E174" s="385">
        <f>IF((C174+D174=0),"",C174+D174)</f>
        <v>123.1</v>
      </c>
      <c r="F174" s="173"/>
      <c r="G174" s="173" t="s">
        <v>437</v>
      </c>
      <c r="H174" s="173" t="s">
        <v>437</v>
      </c>
      <c r="I174" s="211">
        <f>SUMIF($G$9:$G$647,H174,$C$9:$C$647)</f>
        <v>143.18</v>
      </c>
      <c r="J174" s="211">
        <f>SUMIF($G$9:$G$647,H174,$D$9:$D$647)</f>
        <v>123.1</v>
      </c>
      <c r="K174" s="401">
        <f>SUM(I174:J174)</f>
        <v>266.28</v>
      </c>
      <c r="L174" s="173" t="s">
        <v>438</v>
      </c>
    </row>
    <row r="175" spans="1:12" ht="12.75">
      <c r="A175" s="351"/>
      <c r="B175" s="361" t="s">
        <v>156</v>
      </c>
      <c r="C175" s="381">
        <v>143.18</v>
      </c>
      <c r="D175" s="381">
        <v>0</v>
      </c>
      <c r="E175" s="385">
        <f>IF((C175+D175=0),"",C175+D175)</f>
        <v>143.18</v>
      </c>
      <c r="F175" s="173"/>
      <c r="G175" s="173" t="s">
        <v>437</v>
      </c>
      <c r="H175" s="173" t="s">
        <v>439</v>
      </c>
      <c r="I175" s="211">
        <f>SUMIF($G$9:$G$647,H175,$C$9:$C$647)</f>
        <v>33.88</v>
      </c>
      <c r="J175" s="211">
        <f>SUMIF($G$9:$G$647,H175,$D$9:$D$647)</f>
        <v>31</v>
      </c>
      <c r="K175" s="401">
        <f>SUM(I175:J175)</f>
        <v>64.88</v>
      </c>
      <c r="L175" s="173" t="s">
        <v>438</v>
      </c>
    </row>
    <row r="176" spans="1:12" ht="12.75">
      <c r="A176" s="351"/>
      <c r="B176" s="361" t="s">
        <v>157</v>
      </c>
      <c r="C176" s="381">
        <v>33.88</v>
      </c>
      <c r="D176" s="381">
        <v>31</v>
      </c>
      <c r="E176" s="385">
        <f>IF((C176+D176=0),"",C176+D176)</f>
        <v>64.88</v>
      </c>
      <c r="F176" s="173"/>
      <c r="G176" s="173" t="s">
        <v>439</v>
      </c>
      <c r="H176" s="204" t="s">
        <v>440</v>
      </c>
      <c r="I176" s="211">
        <f>SUMIF($G$9:$G$647,H176,$C$9:$C$647)</f>
        <v>8.5</v>
      </c>
      <c r="J176" s="211">
        <f>SUMIF($G$9:$G$647,H176,$D$9:$D$647)</f>
        <v>6.8</v>
      </c>
      <c r="K176" s="401">
        <f>SUM(I176:J176)</f>
        <v>15.3</v>
      </c>
      <c r="L176" s="173" t="s">
        <v>438</v>
      </c>
    </row>
    <row r="177" spans="1:12" ht="12.75">
      <c r="A177" s="351"/>
      <c r="B177" s="361" t="s">
        <v>158</v>
      </c>
      <c r="C177" s="381">
        <v>8.5</v>
      </c>
      <c r="D177" s="381">
        <v>6.8</v>
      </c>
      <c r="E177" s="385">
        <f>IF((C177+D177=0),"",C177+D177)</f>
        <v>15.3</v>
      </c>
      <c r="F177" s="173"/>
      <c r="G177" s="173" t="s">
        <v>440</v>
      </c>
      <c r="I177" s="211">
        <f>SUMIF($G$9:$G$647,H177,$C$9:$C$647)</f>
        <v>0</v>
      </c>
      <c r="J177" s="211">
        <f>SUMIF($G$9:$G$647,H177,$D$9:$D$647)</f>
        <v>0</v>
      </c>
      <c r="K177" s="401">
        <f>SUM(I177:J177)</f>
        <v>0</v>
      </c>
      <c r="L177" s="173" t="s">
        <v>438</v>
      </c>
    </row>
    <row r="178" spans="1:12" ht="12.75">
      <c r="A178" s="339"/>
      <c r="B178" s="361" t="s">
        <v>389</v>
      </c>
      <c r="C178" s="381">
        <f>SUM(C174:C177)</f>
        <v>185.56</v>
      </c>
      <c r="D178" s="381">
        <f>SUM(D174:D177)</f>
        <v>160.9</v>
      </c>
      <c r="E178" s="381">
        <f>SUM(E174:E177)</f>
        <v>346.46</v>
      </c>
      <c r="F178" s="173"/>
      <c r="H178" s="436"/>
      <c r="I178" s="437"/>
      <c r="J178" s="437"/>
      <c r="K178" s="438">
        <f>SUM(K174:K177)</f>
        <v>346.46</v>
      </c>
      <c r="L178" s="436"/>
    </row>
    <row r="179" spans="1:11" ht="12.75">
      <c r="A179" s="339"/>
      <c r="B179" s="172"/>
      <c r="C179" s="342"/>
      <c r="D179" s="342"/>
      <c r="E179" s="342"/>
      <c r="F179" s="173"/>
      <c r="H179" s="173"/>
      <c r="I179" s="211"/>
      <c r="J179" s="211"/>
      <c r="K179" s="401"/>
    </row>
    <row r="180" spans="1:10" ht="12.75">
      <c r="A180" s="339" t="s">
        <v>441</v>
      </c>
      <c r="B180" s="172"/>
      <c r="C180" s="348"/>
      <c r="D180" s="348"/>
      <c r="E180" s="338"/>
      <c r="F180" s="173"/>
      <c r="I180" s="211"/>
      <c r="J180" s="211"/>
    </row>
    <row r="181" spans="1:12" ht="12.75">
      <c r="A181" s="351"/>
      <c r="B181" s="361" t="s">
        <v>1071</v>
      </c>
      <c r="C181" s="433">
        <v>0</v>
      </c>
      <c r="D181" s="433">
        <v>155</v>
      </c>
      <c r="E181" s="385">
        <f>IF((C181+D181=0),"",C181+D181)</f>
        <v>155</v>
      </c>
      <c r="F181" s="173"/>
      <c r="G181" s="173" t="s">
        <v>442</v>
      </c>
      <c r="H181" s="173" t="s">
        <v>442</v>
      </c>
      <c r="I181" s="211">
        <f>SUMIF($G$9:$G$647,H181,$C$9:$C$647)</f>
        <v>168.56</v>
      </c>
      <c r="J181" s="211">
        <f>SUMIF($G$9:$G$647,H181,$D$9:$D$647)</f>
        <v>155</v>
      </c>
      <c r="K181" s="401">
        <f>SUM(I181:J181)</f>
        <v>323.56</v>
      </c>
      <c r="L181" s="173" t="s">
        <v>442</v>
      </c>
    </row>
    <row r="182" spans="1:12" ht="12.75">
      <c r="A182" s="351"/>
      <c r="B182" s="361" t="s">
        <v>159</v>
      </c>
      <c r="C182" s="433">
        <v>168.56</v>
      </c>
      <c r="D182" s="433">
        <v>0</v>
      </c>
      <c r="E182" s="385">
        <f>IF((C182+D182=0),"",C182+D182)</f>
        <v>168.56</v>
      </c>
      <c r="F182" s="173"/>
      <c r="G182" s="173" t="s">
        <v>442</v>
      </c>
      <c r="H182" s="173"/>
      <c r="I182" s="211">
        <f>SUMIF($G$9:$G$647,H182,$C$9:$C$647)</f>
        <v>0</v>
      </c>
      <c r="J182" s="211">
        <f>SUMIF($G$9:$G$647,H182,$D$9:$D$647)</f>
        <v>0</v>
      </c>
      <c r="K182" s="401">
        <f>SUM(I182:J182)</f>
        <v>0</v>
      </c>
      <c r="L182" s="173" t="s">
        <v>442</v>
      </c>
    </row>
    <row r="183" spans="1:12" ht="12.75">
      <c r="A183" s="339"/>
      <c r="B183" s="361" t="s">
        <v>389</v>
      </c>
      <c r="C183" s="381">
        <f>SUM(C181:C182)</f>
        <v>168.56</v>
      </c>
      <c r="D183" s="381">
        <f>SUM(D181:D182)</f>
        <v>155</v>
      </c>
      <c r="E183" s="381">
        <f>SUM(E181:E182)</f>
        <v>323.56</v>
      </c>
      <c r="F183" s="173"/>
      <c r="G183" s="173"/>
      <c r="H183" s="436"/>
      <c r="I183" s="437"/>
      <c r="J183" s="437"/>
      <c r="K183" s="438">
        <f>SUM(K181:K182)</f>
        <v>323.56</v>
      </c>
      <c r="L183" s="436"/>
    </row>
    <row r="184" spans="1:11" ht="12.75">
      <c r="A184" s="339"/>
      <c r="B184" s="172"/>
      <c r="C184" s="348"/>
      <c r="D184" s="348"/>
      <c r="E184" s="342"/>
      <c r="F184" s="173"/>
      <c r="G184" s="173"/>
      <c r="H184" s="173"/>
      <c r="I184" s="211"/>
      <c r="J184" s="211"/>
      <c r="K184" s="401"/>
    </row>
    <row r="185" spans="1:10" ht="12.75">
      <c r="A185" s="339" t="s">
        <v>443</v>
      </c>
      <c r="B185" s="172"/>
      <c r="C185" s="348"/>
      <c r="D185" s="348"/>
      <c r="E185" s="338"/>
      <c r="F185" s="173"/>
      <c r="G185" s="173"/>
      <c r="I185" s="211"/>
      <c r="J185" s="211"/>
    </row>
    <row r="186" spans="1:12" ht="12.75">
      <c r="A186" s="351"/>
      <c r="B186" s="361" t="s">
        <v>160</v>
      </c>
      <c r="C186" s="433">
        <v>113.57</v>
      </c>
      <c r="D186" s="433">
        <v>0</v>
      </c>
      <c r="E186" s="385">
        <f>IF((C186+D186=0),"",C186+D186)</f>
        <v>113.57</v>
      </c>
      <c r="F186" s="173"/>
      <c r="G186" s="173" t="s">
        <v>444</v>
      </c>
      <c r="H186" s="173" t="s">
        <v>444</v>
      </c>
      <c r="I186" s="211">
        <f>SUMIF($G$9:$G$647,H186,$C$9:$C$647)</f>
        <v>142.57</v>
      </c>
      <c r="J186" s="211">
        <f>SUMIF($G$9:$G$647,H186,$D$9:$D$647)</f>
        <v>114.75</v>
      </c>
      <c r="K186" s="401">
        <f>SUM(I186:J186)</f>
        <v>257.32</v>
      </c>
      <c r="L186" s="173" t="s">
        <v>444</v>
      </c>
    </row>
    <row r="187" spans="1:12" ht="12.75">
      <c r="A187" s="351"/>
      <c r="B187" s="361" t="s">
        <v>161</v>
      </c>
      <c r="C187" s="433">
        <v>29</v>
      </c>
      <c r="D187" s="433">
        <v>33</v>
      </c>
      <c r="E187" s="385">
        <f>IF((C187+D187=0),"",C187+D187)</f>
        <v>62</v>
      </c>
      <c r="F187" s="173"/>
      <c r="G187" s="173" t="s">
        <v>444</v>
      </c>
      <c r="H187" s="173"/>
      <c r="I187" s="211">
        <f>SUMIF($G$9:$G$647,H187,$C$9:$C$647)</f>
        <v>0</v>
      </c>
      <c r="J187" s="211">
        <f>SUMIF($G$9:$G$647,H187,$D$9:$D$647)</f>
        <v>0</v>
      </c>
      <c r="K187" s="401">
        <f>SUM(I187:J187)</f>
        <v>0</v>
      </c>
      <c r="L187" s="173" t="s">
        <v>444</v>
      </c>
    </row>
    <row r="188" spans="1:12" ht="12.75">
      <c r="A188" s="351"/>
      <c r="B188" s="361" t="s">
        <v>162</v>
      </c>
      <c r="C188" s="433">
        <v>0</v>
      </c>
      <c r="D188" s="433">
        <v>81.75</v>
      </c>
      <c r="E188" s="385">
        <f>IF((C188+D188=0),"",C188+D188)</f>
        <v>81.75</v>
      </c>
      <c r="F188" s="173"/>
      <c r="G188" s="173" t="s">
        <v>444</v>
      </c>
      <c r="H188" s="173"/>
      <c r="I188" s="211">
        <f>SUMIF($G$9:$G$647,H188,$C$9:$C$647)</f>
        <v>0</v>
      </c>
      <c r="J188" s="211">
        <f>SUMIF($G$9:$G$647,H188,$D$9:$D$647)</f>
        <v>0</v>
      </c>
      <c r="K188" s="401">
        <f>SUM(I188:J188)</f>
        <v>0</v>
      </c>
      <c r="L188" s="173" t="s">
        <v>444</v>
      </c>
    </row>
    <row r="189" spans="1:12" ht="12.75">
      <c r="A189" s="339"/>
      <c r="B189" s="361" t="s">
        <v>389</v>
      </c>
      <c r="C189" s="381">
        <f>SUM(C186:C188)</f>
        <v>142.57</v>
      </c>
      <c r="D189" s="381">
        <f>SUM(D186:D188)</f>
        <v>114.75</v>
      </c>
      <c r="E189" s="381">
        <f>SUM(E186:E188)</f>
        <v>257.32</v>
      </c>
      <c r="F189" s="173"/>
      <c r="G189" s="173"/>
      <c r="H189" s="436"/>
      <c r="I189" s="437"/>
      <c r="J189" s="437"/>
      <c r="K189" s="438">
        <f>SUM(K186:K188)</f>
        <v>257.32</v>
      </c>
      <c r="L189" s="436"/>
    </row>
    <row r="190" spans="1:11" ht="12.75">
      <c r="A190" s="339"/>
      <c r="B190" s="172"/>
      <c r="C190" s="348"/>
      <c r="D190" s="348"/>
      <c r="E190" s="342"/>
      <c r="F190" s="173"/>
      <c r="G190" s="173"/>
      <c r="H190" s="173"/>
      <c r="I190" s="211"/>
      <c r="J190" s="211"/>
      <c r="K190" s="401"/>
    </row>
    <row r="191" spans="1:11" ht="12.75">
      <c r="A191" s="339" t="s">
        <v>445</v>
      </c>
      <c r="B191" s="172"/>
      <c r="C191" s="348"/>
      <c r="D191" s="348"/>
      <c r="E191" s="338"/>
      <c r="F191" s="173"/>
      <c r="G191" s="173"/>
      <c r="H191" s="173"/>
      <c r="I191" s="211"/>
      <c r="J191" s="211"/>
      <c r="K191" s="401"/>
    </row>
    <row r="192" spans="1:12" ht="12.75">
      <c r="A192" s="351"/>
      <c r="B192" s="361" t="s">
        <v>1257</v>
      </c>
      <c r="C192" s="433">
        <v>374</v>
      </c>
      <c r="D192" s="433"/>
      <c r="E192" s="385">
        <f>IF((C192+D192=0),"",C192+D192)</f>
        <v>374</v>
      </c>
      <c r="F192" s="173"/>
      <c r="G192" s="173" t="s">
        <v>446</v>
      </c>
      <c r="H192" s="173" t="s">
        <v>446</v>
      </c>
      <c r="I192" s="211">
        <f>SUMIF($G$9:$G$647,H192,$C$9:$C$647)</f>
        <v>416.5</v>
      </c>
      <c r="J192" s="211">
        <f>SUMIF($G$9:$G$647,H192,$D$9:$D$647)</f>
        <v>291.85</v>
      </c>
      <c r="K192" s="401">
        <f>SUM(I192:J192)</f>
        <v>708.35</v>
      </c>
      <c r="L192" s="173" t="s">
        <v>447</v>
      </c>
    </row>
    <row r="193" spans="1:12" ht="12.75">
      <c r="A193" s="351"/>
      <c r="B193" s="361" t="s">
        <v>1265</v>
      </c>
      <c r="C193" s="433">
        <v>42.5</v>
      </c>
      <c r="D193" s="433">
        <v>101.9</v>
      </c>
      <c r="E193" s="385">
        <f>IF((C193+D193=0),"",C193+D193)</f>
        <v>144.4</v>
      </c>
      <c r="F193" s="173"/>
      <c r="G193" s="173" t="s">
        <v>446</v>
      </c>
      <c r="H193" s="173" t="s">
        <v>448</v>
      </c>
      <c r="I193" s="211">
        <f>SUMIF($G$9:$G$647,H193,$C$9:$C$647)</f>
        <v>15</v>
      </c>
      <c r="J193" s="211">
        <f>SUMIF($G$9:$G$647,H193,$D$9:$D$647)</f>
        <v>12</v>
      </c>
      <c r="K193" s="401">
        <f>SUM(I193:J193)</f>
        <v>27</v>
      </c>
      <c r="L193" s="173" t="s">
        <v>447</v>
      </c>
    </row>
    <row r="194" spans="1:12" ht="12.75">
      <c r="A194" s="351"/>
      <c r="B194" s="361" t="s">
        <v>1266</v>
      </c>
      <c r="C194" s="433"/>
      <c r="D194" s="433">
        <v>189.95</v>
      </c>
      <c r="E194" s="385">
        <f>IF((C194+D194=0),"",C194+D194)</f>
        <v>189.95</v>
      </c>
      <c r="F194" s="173"/>
      <c r="G194" s="173" t="s">
        <v>446</v>
      </c>
      <c r="H194" s="416"/>
      <c r="I194" s="211">
        <f>SUMIF($G$9:$G$647,H194,$C$9:$C$647)</f>
        <v>0</v>
      </c>
      <c r="J194" s="211">
        <f>SUMIF($G$9:$G$647,H194,$D$9:$D$647)</f>
        <v>0</v>
      </c>
      <c r="K194" s="401">
        <f>SUM(I194:J194)</f>
        <v>0</v>
      </c>
      <c r="L194" s="173" t="s">
        <v>447</v>
      </c>
    </row>
    <row r="195" spans="1:12" ht="12.75">
      <c r="A195" s="351"/>
      <c r="B195" s="361" t="s">
        <v>163</v>
      </c>
      <c r="C195" s="433">
        <v>15</v>
      </c>
      <c r="D195" s="433">
        <v>12</v>
      </c>
      <c r="E195" s="385">
        <f>IF((C195+D195=0),"",C195+D195)</f>
        <v>27</v>
      </c>
      <c r="F195" s="173"/>
      <c r="G195" s="173" t="s">
        <v>448</v>
      </c>
      <c r="H195" s="173"/>
      <c r="I195" s="211">
        <f>SUMIF($G$9:$G$647,H195,$C$9:$C$647)</f>
        <v>0</v>
      </c>
      <c r="J195" s="211">
        <f>SUMIF($G$9:$G$647,H195,$D$9:$D$647)</f>
        <v>0</v>
      </c>
      <c r="K195" s="401">
        <f aca="true" t="shared" si="17" ref="K195:K251">SUM(I195:J195)</f>
        <v>0</v>
      </c>
      <c r="L195" s="173" t="s">
        <v>447</v>
      </c>
    </row>
    <row r="196" spans="1:12" ht="12.75">
      <c r="A196" s="351"/>
      <c r="B196" s="361" t="s">
        <v>1267</v>
      </c>
      <c r="C196" s="433"/>
      <c r="D196" s="433"/>
      <c r="E196" s="385">
        <f>IF((C196+D196=0),"",C196+D196)</f>
      </c>
      <c r="F196" s="173"/>
      <c r="G196" s="173" t="s">
        <v>446</v>
      </c>
      <c r="I196" s="211">
        <f>SUMIF($G$9:$G$647,H196,$C$9:$C$647)</f>
        <v>0</v>
      </c>
      <c r="J196" s="211">
        <f>SUMIF($G$9:$G$647,H196,$D$9:$D$647)</f>
        <v>0</v>
      </c>
      <c r="K196" s="401">
        <f>SUM(I196:J196)</f>
        <v>0</v>
      </c>
      <c r="L196" s="173" t="s">
        <v>447</v>
      </c>
    </row>
    <row r="197" spans="1:12" ht="12.75">
      <c r="A197" s="339"/>
      <c r="B197" s="361" t="s">
        <v>389</v>
      </c>
      <c r="C197" s="381">
        <f>SUM(C192:C196)</f>
        <v>431.5</v>
      </c>
      <c r="D197" s="381">
        <f>SUM(D192:D196)</f>
        <v>303.85</v>
      </c>
      <c r="E197" s="381">
        <f>SUM(E192:E196)</f>
        <v>735.3499999999999</v>
      </c>
      <c r="F197" s="173"/>
      <c r="G197" s="173"/>
      <c r="H197" s="436"/>
      <c r="I197" s="437"/>
      <c r="J197" s="437"/>
      <c r="K197" s="438">
        <f>SUM(K192:K196)</f>
        <v>735.35</v>
      </c>
      <c r="L197" s="436"/>
    </row>
    <row r="198" spans="1:11" ht="12.75">
      <c r="A198" s="339"/>
      <c r="B198" s="172"/>
      <c r="C198" s="348"/>
      <c r="D198" s="348"/>
      <c r="E198" s="342"/>
      <c r="F198" s="173"/>
      <c r="G198" s="173"/>
      <c r="H198" s="173"/>
      <c r="I198" s="211"/>
      <c r="J198" s="211"/>
      <c r="K198" s="401"/>
    </row>
    <row r="199" spans="1:11" ht="12.75">
      <c r="A199" s="339" t="s">
        <v>449</v>
      </c>
      <c r="B199" s="172"/>
      <c r="C199" s="348"/>
      <c r="D199" s="348"/>
      <c r="E199" s="338"/>
      <c r="F199" s="173"/>
      <c r="G199" s="173"/>
      <c r="H199" s="173"/>
      <c r="I199" s="211"/>
      <c r="J199" s="211"/>
      <c r="K199" s="401"/>
    </row>
    <row r="200" spans="1:12" ht="12.75">
      <c r="A200" s="351"/>
      <c r="B200" s="361" t="s">
        <v>164</v>
      </c>
      <c r="C200" s="384">
        <v>21.4</v>
      </c>
      <c r="D200" s="384">
        <f>12.45-0.1</f>
        <v>12.35</v>
      </c>
      <c r="E200" s="387">
        <f>IF((C200+D200=0),"",C200+D200)</f>
        <v>33.75</v>
      </c>
      <c r="F200" s="173"/>
      <c r="G200" s="173" t="s">
        <v>450</v>
      </c>
      <c r="H200" s="173" t="s">
        <v>450</v>
      </c>
      <c r="I200" s="211">
        <f>SUMIF($G$9:$G$647,H200,$C$9:$C$647)</f>
        <v>21.4</v>
      </c>
      <c r="J200" s="211">
        <f>SUMIF($G$9:$G$647,H200,$D$9:$D$647)</f>
        <v>12.35</v>
      </c>
      <c r="K200" s="401">
        <f t="shared" si="17"/>
        <v>33.75</v>
      </c>
      <c r="L200" s="173" t="s">
        <v>451</v>
      </c>
    </row>
    <row r="201" spans="1:12" ht="12.75">
      <c r="A201" s="351"/>
      <c r="B201" s="361" t="s">
        <v>165</v>
      </c>
      <c r="C201" s="384">
        <v>5</v>
      </c>
      <c r="D201" s="384">
        <v>8.5</v>
      </c>
      <c r="E201" s="387">
        <f>IF((C201+D201=0),"",C201+D201)</f>
        <v>13.5</v>
      </c>
      <c r="F201" s="173"/>
      <c r="G201" s="173" t="s">
        <v>452</v>
      </c>
      <c r="H201" s="173" t="s">
        <v>452</v>
      </c>
      <c r="I201" s="211">
        <f>SUMIF($G$9:$G$647,H201,$C$9:$C$647)</f>
        <v>5</v>
      </c>
      <c r="J201" s="211">
        <f>SUMIF($G$9:$G$647,H201,$D$9:$D$647)</f>
        <v>8.5</v>
      </c>
      <c r="K201" s="401">
        <f t="shared" si="17"/>
        <v>13.5</v>
      </c>
      <c r="L201" s="173" t="s">
        <v>451</v>
      </c>
    </row>
    <row r="202" spans="1:12" ht="12.75">
      <c r="A202" s="351"/>
      <c r="B202" s="361" t="s">
        <v>166</v>
      </c>
      <c r="C202" s="384">
        <f>95.15-0.05</f>
        <v>95.10000000000001</v>
      </c>
      <c r="D202" s="384">
        <f>81.7-1</f>
        <v>80.7</v>
      </c>
      <c r="E202" s="387">
        <f>IF((C202+D202=0),"",C202+D202)</f>
        <v>175.8</v>
      </c>
      <c r="F202" s="173"/>
      <c r="G202" s="173" t="s">
        <v>453</v>
      </c>
      <c r="H202" s="173" t="s">
        <v>453</v>
      </c>
      <c r="I202" s="211">
        <f>SUMIF($G$9:$G$647,H202,$C$9:$C$647)</f>
        <v>95.10000000000001</v>
      </c>
      <c r="J202" s="211">
        <f>SUMIF($G$9:$G$647,H202,$D$9:$D$647)</f>
        <v>80.7</v>
      </c>
      <c r="K202" s="401">
        <f t="shared" si="17"/>
        <v>175.8</v>
      </c>
      <c r="L202" s="173" t="s">
        <v>451</v>
      </c>
    </row>
    <row r="203" spans="1:12" ht="12.75">
      <c r="A203" s="339"/>
      <c r="B203" s="361" t="s">
        <v>389</v>
      </c>
      <c r="C203" s="384">
        <f>SUM(C200:C202)</f>
        <v>121.5</v>
      </c>
      <c r="D203" s="384">
        <f>SUM(D200:D202)</f>
        <v>101.55000000000001</v>
      </c>
      <c r="E203" s="384">
        <f>SUM(E200:E202)</f>
        <v>223.05</v>
      </c>
      <c r="F203" s="173"/>
      <c r="G203" s="173"/>
      <c r="H203" s="436"/>
      <c r="I203" s="437"/>
      <c r="J203" s="437"/>
      <c r="K203" s="438">
        <f>SUM(K200:K202)</f>
        <v>223.05</v>
      </c>
      <c r="L203" s="436"/>
    </row>
    <row r="204" spans="1:11" ht="12.75">
      <c r="A204" s="339"/>
      <c r="B204" s="172"/>
      <c r="C204" s="349"/>
      <c r="D204" s="349"/>
      <c r="E204" s="349"/>
      <c r="F204" s="173"/>
      <c r="G204" s="173"/>
      <c r="H204" s="173"/>
      <c r="I204" s="211"/>
      <c r="J204" s="211"/>
      <c r="K204" s="401"/>
    </row>
    <row r="205" spans="1:11" ht="12.75">
      <c r="A205" s="339" t="s">
        <v>454</v>
      </c>
      <c r="B205" s="172"/>
      <c r="C205" s="349"/>
      <c r="D205" s="349"/>
      <c r="E205" s="349"/>
      <c r="F205" s="173"/>
      <c r="G205" s="173"/>
      <c r="H205" s="173"/>
      <c r="I205" s="211"/>
      <c r="J205" s="211"/>
      <c r="K205" s="401"/>
    </row>
    <row r="206" spans="1:12" ht="12.75">
      <c r="A206" s="351"/>
      <c r="B206" s="361" t="s">
        <v>167</v>
      </c>
      <c r="C206" s="384">
        <f>245.5-0.8</f>
        <v>244.7</v>
      </c>
      <c r="D206" s="384">
        <v>0</v>
      </c>
      <c r="E206" s="387">
        <f>IF((C206+D206=0),"",C206+D206)</f>
        <v>244.7</v>
      </c>
      <c r="F206" s="173"/>
      <c r="G206" s="173" t="s">
        <v>455</v>
      </c>
      <c r="H206" s="173" t="s">
        <v>455</v>
      </c>
      <c r="I206" s="211">
        <f>SUMIF($G$9:$G$647,H206,$C$9:$C$647)</f>
        <v>276.7</v>
      </c>
      <c r="J206" s="211">
        <f>SUMIF($G$9:$G$647,H206,$D$9:$D$647)</f>
        <v>199</v>
      </c>
      <c r="K206" s="401">
        <f>SUM(I206:J206)</f>
        <v>475.7</v>
      </c>
      <c r="L206" s="173" t="s">
        <v>455</v>
      </c>
    </row>
    <row r="207" spans="1:12" ht="12.75">
      <c r="A207" s="351"/>
      <c r="B207" s="361" t="s">
        <v>168</v>
      </c>
      <c r="C207" s="384">
        <v>32</v>
      </c>
      <c r="D207" s="384">
        <v>199</v>
      </c>
      <c r="E207" s="387">
        <f>IF((C207+D207=0),"",C207+D207)</f>
        <v>231</v>
      </c>
      <c r="F207" s="173"/>
      <c r="G207" s="173" t="s">
        <v>455</v>
      </c>
      <c r="H207" s="173"/>
      <c r="I207" s="211">
        <f>SUMIF($G$9:$G$647,H207,$C$9:$C$647)</f>
        <v>0</v>
      </c>
      <c r="J207" s="211">
        <f>SUMIF($G$9:$G$647,H207,$D$9:$D$647)</f>
        <v>0</v>
      </c>
      <c r="K207" s="401">
        <f t="shared" si="17"/>
        <v>0</v>
      </c>
      <c r="L207" s="173" t="s">
        <v>455</v>
      </c>
    </row>
    <row r="208" spans="1:12" ht="12.75">
      <c r="A208" s="339"/>
      <c r="B208" s="361" t="s">
        <v>389</v>
      </c>
      <c r="C208" s="384">
        <f>SUM(C206:C207)</f>
        <v>276.7</v>
      </c>
      <c r="D208" s="384">
        <f>SUM(D206:D207)</f>
        <v>199</v>
      </c>
      <c r="E208" s="384">
        <f>SUM(E206:E207)</f>
        <v>475.7</v>
      </c>
      <c r="F208" s="173"/>
      <c r="G208" s="173"/>
      <c r="H208" s="436"/>
      <c r="I208" s="437"/>
      <c r="J208" s="437"/>
      <c r="K208" s="438">
        <f>SUM(K206:K207)</f>
        <v>475.7</v>
      </c>
      <c r="L208" s="436"/>
    </row>
    <row r="209" spans="1:11" ht="12.75">
      <c r="A209" s="339"/>
      <c r="B209" s="172"/>
      <c r="C209" s="342"/>
      <c r="D209" s="342"/>
      <c r="E209" s="342"/>
      <c r="F209" s="173"/>
      <c r="G209" s="173"/>
      <c r="I209" s="211"/>
      <c r="J209" s="211"/>
      <c r="K209" s="401"/>
    </row>
    <row r="210" spans="1:11" ht="12.75">
      <c r="A210" s="339" t="s">
        <v>456</v>
      </c>
      <c r="B210" s="172"/>
      <c r="C210" s="342"/>
      <c r="D210" s="338"/>
      <c r="E210" s="338"/>
      <c r="F210" s="173"/>
      <c r="G210" s="173"/>
      <c r="H210" s="173"/>
      <c r="I210" s="211"/>
      <c r="J210" s="211"/>
      <c r="K210" s="401"/>
    </row>
    <row r="211" spans="1:12" ht="12.75">
      <c r="A211" s="351"/>
      <c r="B211" s="361" t="s">
        <v>169</v>
      </c>
      <c r="C211" s="381">
        <v>213.72</v>
      </c>
      <c r="D211" s="381"/>
      <c r="E211" s="385">
        <f aca="true" t="shared" si="18" ref="E211:E245">IF((C211+D211=0),"",C211+D211)</f>
        <v>213.72</v>
      </c>
      <c r="F211" s="173"/>
      <c r="G211" s="173" t="s">
        <v>457</v>
      </c>
      <c r="H211" s="173" t="s">
        <v>457</v>
      </c>
      <c r="I211" s="211">
        <f aca="true" t="shared" si="19" ref="I211:I245">SUMIF($G$9:$G$647,H211,$C$9:$C$647)</f>
        <v>510.07000000000005</v>
      </c>
      <c r="J211" s="211">
        <f aca="true" t="shared" si="20" ref="J211:J245">SUMIF($G$9:$G$647,H211,$D$9:$D$647)</f>
        <v>350.35</v>
      </c>
      <c r="K211" s="401">
        <f t="shared" si="17"/>
        <v>860.4200000000001</v>
      </c>
      <c r="L211" s="173" t="s">
        <v>458</v>
      </c>
    </row>
    <row r="212" spans="1:12" ht="12.75">
      <c r="A212" s="351"/>
      <c r="B212" s="361" t="s">
        <v>170</v>
      </c>
      <c r="C212" s="381">
        <v>374.5</v>
      </c>
      <c r="D212" s="381"/>
      <c r="E212" s="385">
        <f t="shared" si="18"/>
        <v>374.5</v>
      </c>
      <c r="F212" s="173"/>
      <c r="G212" s="173" t="s">
        <v>458</v>
      </c>
      <c r="H212" s="173" t="s">
        <v>459</v>
      </c>
      <c r="I212" s="211">
        <f t="shared" si="19"/>
        <v>530.26</v>
      </c>
      <c r="J212" s="211">
        <f t="shared" si="20"/>
        <v>0</v>
      </c>
      <c r="K212" s="401">
        <f t="shared" si="17"/>
        <v>530.26</v>
      </c>
      <c r="L212" s="173" t="s">
        <v>458</v>
      </c>
    </row>
    <row r="213" spans="1:12" ht="12.75">
      <c r="A213" s="351"/>
      <c r="B213" s="361" t="s">
        <v>171</v>
      </c>
      <c r="C213" s="381">
        <f>532.26-2</f>
        <v>530.26</v>
      </c>
      <c r="D213" s="381"/>
      <c r="E213" s="385">
        <f t="shared" si="18"/>
        <v>530.26</v>
      </c>
      <c r="F213" s="173"/>
      <c r="G213" s="173" t="s">
        <v>459</v>
      </c>
      <c r="H213" s="173" t="s">
        <v>460</v>
      </c>
      <c r="I213" s="211">
        <f t="shared" si="19"/>
        <v>1649.13</v>
      </c>
      <c r="J213" s="211">
        <f t="shared" si="20"/>
        <v>1097</v>
      </c>
      <c r="K213" s="401">
        <f t="shared" si="17"/>
        <v>2746.13</v>
      </c>
      <c r="L213" s="173" t="s">
        <v>458</v>
      </c>
    </row>
    <row r="214" spans="1:12" ht="12.75">
      <c r="A214" s="351"/>
      <c r="B214" s="361" t="s">
        <v>172</v>
      </c>
      <c r="C214" s="381">
        <f>335.5-2</f>
        <v>333.5</v>
      </c>
      <c r="D214" s="381">
        <v>96.75</v>
      </c>
      <c r="E214" s="385">
        <f t="shared" si="18"/>
        <v>430.25</v>
      </c>
      <c r="F214" s="173"/>
      <c r="G214" s="173" t="s">
        <v>458</v>
      </c>
      <c r="H214" s="173" t="s">
        <v>461</v>
      </c>
      <c r="I214" s="211">
        <f t="shared" si="19"/>
        <v>69.24</v>
      </c>
      <c r="J214" s="211">
        <f t="shared" si="20"/>
        <v>0</v>
      </c>
      <c r="K214" s="401">
        <f t="shared" si="17"/>
        <v>69.24</v>
      </c>
      <c r="L214" s="173" t="s">
        <v>458</v>
      </c>
    </row>
    <row r="215" spans="1:12" ht="12.75">
      <c r="A215" s="351"/>
      <c r="B215" s="361" t="s">
        <v>173</v>
      </c>
      <c r="C215" s="381">
        <v>0</v>
      </c>
      <c r="D215" s="381">
        <v>350.35</v>
      </c>
      <c r="E215" s="385">
        <f t="shared" si="18"/>
        <v>350.35</v>
      </c>
      <c r="F215" s="173"/>
      <c r="G215" s="173" t="s">
        <v>457</v>
      </c>
      <c r="H215" s="173" t="s">
        <v>462</v>
      </c>
      <c r="I215" s="211">
        <f t="shared" si="19"/>
        <v>76.35</v>
      </c>
      <c r="J215" s="211">
        <f t="shared" si="20"/>
        <v>10</v>
      </c>
      <c r="K215" s="401">
        <f t="shared" si="17"/>
        <v>86.35</v>
      </c>
      <c r="L215" s="173" t="s">
        <v>458</v>
      </c>
    </row>
    <row r="216" spans="1:12" ht="12.75">
      <c r="A216" s="351"/>
      <c r="B216" s="361" t="s">
        <v>1268</v>
      </c>
      <c r="C216" s="381">
        <v>163.75</v>
      </c>
      <c r="D216" s="381">
        <v>17</v>
      </c>
      <c r="E216" s="385">
        <f t="shared" si="18"/>
        <v>180.75</v>
      </c>
      <c r="F216" s="173"/>
      <c r="G216" s="204" t="s">
        <v>404</v>
      </c>
      <c r="H216" s="173" t="s">
        <v>458</v>
      </c>
      <c r="I216" s="211">
        <f t="shared" si="19"/>
        <v>4549.5199999999995</v>
      </c>
      <c r="J216" s="211">
        <f t="shared" si="20"/>
        <v>3702.2299999999996</v>
      </c>
      <c r="K216" s="401">
        <f t="shared" si="17"/>
        <v>8251.75</v>
      </c>
      <c r="L216" s="173" t="s">
        <v>458</v>
      </c>
    </row>
    <row r="217" spans="1:12" ht="12.75">
      <c r="A217" s="351"/>
      <c r="B217" s="361" t="s">
        <v>174</v>
      </c>
      <c r="C217" s="381">
        <v>114</v>
      </c>
      <c r="D217" s="381">
        <v>38</v>
      </c>
      <c r="E217" s="385">
        <f>IF((C217+D217=0),"",C217+D217)</f>
        <v>152</v>
      </c>
      <c r="F217" s="173"/>
      <c r="G217" s="173" t="s">
        <v>404</v>
      </c>
      <c r="I217" s="211">
        <f t="shared" si="19"/>
        <v>0</v>
      </c>
      <c r="J217" s="211">
        <f t="shared" si="20"/>
        <v>0</v>
      </c>
      <c r="K217" s="401">
        <f t="shared" si="17"/>
        <v>0</v>
      </c>
      <c r="L217" s="173" t="s">
        <v>458</v>
      </c>
    </row>
    <row r="218" spans="1:12" ht="12.75">
      <c r="A218" s="351"/>
      <c r="B218" s="361" t="s">
        <v>175</v>
      </c>
      <c r="C218" s="381">
        <v>296.35</v>
      </c>
      <c r="D218" s="381"/>
      <c r="E218" s="385">
        <f t="shared" si="18"/>
        <v>296.35</v>
      </c>
      <c r="F218" s="173"/>
      <c r="G218" s="173" t="s">
        <v>457</v>
      </c>
      <c r="I218" s="211">
        <f t="shared" si="19"/>
        <v>0</v>
      </c>
      <c r="J218" s="211">
        <f t="shared" si="20"/>
        <v>0</v>
      </c>
      <c r="K218" s="401">
        <f t="shared" si="17"/>
        <v>0</v>
      </c>
      <c r="L218" s="173" t="s">
        <v>458</v>
      </c>
    </row>
    <row r="219" spans="1:12" ht="12.75">
      <c r="A219" s="351"/>
      <c r="B219" s="361" t="s">
        <v>176</v>
      </c>
      <c r="C219" s="381">
        <v>341.45</v>
      </c>
      <c r="D219" s="381"/>
      <c r="E219" s="385">
        <f t="shared" si="18"/>
        <v>341.45</v>
      </c>
      <c r="F219" s="173"/>
      <c r="G219" s="173" t="s">
        <v>458</v>
      </c>
      <c r="I219" s="211">
        <f t="shared" si="19"/>
        <v>0</v>
      </c>
      <c r="J219" s="211">
        <f t="shared" si="20"/>
        <v>0</v>
      </c>
      <c r="K219" s="401">
        <f t="shared" si="17"/>
        <v>0</v>
      </c>
      <c r="L219" s="173" t="s">
        <v>458</v>
      </c>
    </row>
    <row r="220" spans="1:12" ht="12.75">
      <c r="A220" s="351"/>
      <c r="B220" s="361" t="s">
        <v>177</v>
      </c>
      <c r="C220" s="381">
        <v>371.55</v>
      </c>
      <c r="D220" s="381"/>
      <c r="E220" s="385">
        <f t="shared" si="18"/>
        <v>371.55</v>
      </c>
      <c r="F220" s="173"/>
      <c r="G220" s="173" t="s">
        <v>458</v>
      </c>
      <c r="H220" s="173"/>
      <c r="I220" s="211">
        <f t="shared" si="19"/>
        <v>0</v>
      </c>
      <c r="J220" s="211">
        <f t="shared" si="20"/>
        <v>0</v>
      </c>
      <c r="K220" s="401">
        <f t="shared" si="17"/>
        <v>0</v>
      </c>
      <c r="L220" s="173" t="s">
        <v>458</v>
      </c>
    </row>
    <row r="221" spans="1:12" ht="12.75">
      <c r="A221" s="351"/>
      <c r="B221" s="361" t="s">
        <v>178</v>
      </c>
      <c r="C221" s="381">
        <v>0</v>
      </c>
      <c r="D221" s="381">
        <v>407.8</v>
      </c>
      <c r="E221" s="385">
        <f>IF((C221+D221=0),"",C221+D221)</f>
        <v>407.8</v>
      </c>
      <c r="F221" s="173"/>
      <c r="G221" s="173" t="s">
        <v>458</v>
      </c>
      <c r="H221" s="173"/>
      <c r="I221" s="211">
        <f t="shared" si="19"/>
        <v>0</v>
      </c>
      <c r="J221" s="211">
        <f t="shared" si="20"/>
        <v>0</v>
      </c>
      <c r="K221" s="401">
        <f t="shared" si="17"/>
        <v>0</v>
      </c>
      <c r="L221" s="173" t="s">
        <v>458</v>
      </c>
    </row>
    <row r="222" spans="1:12" ht="12.75">
      <c r="A222" s="351"/>
      <c r="B222" s="361" t="s">
        <v>179</v>
      </c>
      <c r="C222" s="381">
        <v>418.05</v>
      </c>
      <c r="D222" s="381"/>
      <c r="E222" s="385">
        <f t="shared" si="18"/>
        <v>418.05</v>
      </c>
      <c r="F222" s="173"/>
      <c r="G222" s="173" t="s">
        <v>458</v>
      </c>
      <c r="H222" s="173"/>
      <c r="I222" s="211">
        <f t="shared" si="19"/>
        <v>0</v>
      </c>
      <c r="J222" s="211">
        <f t="shared" si="20"/>
        <v>0</v>
      </c>
      <c r="K222" s="401">
        <f t="shared" si="17"/>
        <v>0</v>
      </c>
      <c r="L222" s="173" t="s">
        <v>458</v>
      </c>
    </row>
    <row r="223" spans="1:12" ht="12.75">
      <c r="A223" s="351"/>
      <c r="B223" s="361" t="s">
        <v>180</v>
      </c>
      <c r="C223" s="381">
        <v>492.32</v>
      </c>
      <c r="D223" s="381"/>
      <c r="E223" s="385">
        <f t="shared" si="18"/>
        <v>492.32</v>
      </c>
      <c r="F223" s="173"/>
      <c r="G223" s="173" t="s">
        <v>458</v>
      </c>
      <c r="H223" s="173"/>
      <c r="I223" s="211">
        <f t="shared" si="19"/>
        <v>0</v>
      </c>
      <c r="J223" s="211">
        <f t="shared" si="20"/>
        <v>0</v>
      </c>
      <c r="K223" s="401">
        <f t="shared" si="17"/>
        <v>0</v>
      </c>
      <c r="L223" s="173" t="s">
        <v>458</v>
      </c>
    </row>
    <row r="224" spans="1:12" ht="12.75">
      <c r="A224" s="351"/>
      <c r="B224" s="361" t="s">
        <v>181</v>
      </c>
      <c r="C224" s="381">
        <v>0</v>
      </c>
      <c r="D224" s="381">
        <f>1011.13-1</f>
        <v>1010.13</v>
      </c>
      <c r="E224" s="385">
        <f t="shared" si="18"/>
        <v>1010.13</v>
      </c>
      <c r="F224" s="173"/>
      <c r="G224" s="173" t="s">
        <v>458</v>
      </c>
      <c r="H224" s="173"/>
      <c r="I224" s="211">
        <f t="shared" si="19"/>
        <v>0</v>
      </c>
      <c r="J224" s="211">
        <f t="shared" si="20"/>
        <v>0</v>
      </c>
      <c r="K224" s="401">
        <f t="shared" si="17"/>
        <v>0</v>
      </c>
      <c r="L224" s="173" t="s">
        <v>458</v>
      </c>
    </row>
    <row r="225" spans="1:12" ht="12.75">
      <c r="A225" s="351"/>
      <c r="B225" s="361" t="s">
        <v>1269</v>
      </c>
      <c r="C225" s="381">
        <f>475.5-0.18</f>
        <v>475.32</v>
      </c>
      <c r="D225" s="381"/>
      <c r="E225" s="385">
        <f>IF((C225+D225=0),"",C225+D225)</f>
        <v>475.32</v>
      </c>
      <c r="F225" s="173"/>
      <c r="G225" s="173" t="s">
        <v>460</v>
      </c>
      <c r="H225" s="173"/>
      <c r="I225" s="211">
        <f t="shared" si="19"/>
        <v>0</v>
      </c>
      <c r="J225" s="211">
        <f t="shared" si="20"/>
        <v>0</v>
      </c>
      <c r="K225" s="401">
        <f>SUM(I225:J225)</f>
        <v>0</v>
      </c>
      <c r="L225" s="173" t="s">
        <v>458</v>
      </c>
    </row>
    <row r="226" spans="1:12" ht="12.75">
      <c r="A226" s="351"/>
      <c r="B226" s="361" t="s">
        <v>182</v>
      </c>
      <c r="C226" s="381">
        <v>355.91</v>
      </c>
      <c r="D226" s="381"/>
      <c r="E226" s="385">
        <f t="shared" si="18"/>
        <v>355.91</v>
      </c>
      <c r="F226" s="173"/>
      <c r="G226" s="173" t="s">
        <v>458</v>
      </c>
      <c r="H226" s="173"/>
      <c r="I226" s="211">
        <f t="shared" si="19"/>
        <v>0</v>
      </c>
      <c r="J226" s="211">
        <f t="shared" si="20"/>
        <v>0</v>
      </c>
      <c r="K226" s="401">
        <f t="shared" si="17"/>
        <v>0</v>
      </c>
      <c r="L226" s="173" t="s">
        <v>458</v>
      </c>
    </row>
    <row r="227" spans="1:12" ht="12.75">
      <c r="A227" s="351"/>
      <c r="B227" s="361" t="s">
        <v>183</v>
      </c>
      <c r="C227" s="381">
        <f>478.77-0.05</f>
        <v>478.71999999999997</v>
      </c>
      <c r="D227" s="381"/>
      <c r="E227" s="385">
        <f t="shared" si="18"/>
        <v>478.71999999999997</v>
      </c>
      <c r="F227" s="173"/>
      <c r="G227" s="173" t="s">
        <v>460</v>
      </c>
      <c r="H227" s="173"/>
      <c r="I227" s="211">
        <f t="shared" si="19"/>
        <v>0</v>
      </c>
      <c r="J227" s="211">
        <f t="shared" si="20"/>
        <v>0</v>
      </c>
      <c r="K227" s="401">
        <f t="shared" si="17"/>
        <v>0</v>
      </c>
      <c r="L227" s="173" t="s">
        <v>458</v>
      </c>
    </row>
    <row r="228" spans="1:12" ht="12.75">
      <c r="A228" s="351"/>
      <c r="B228" s="361" t="s">
        <v>184</v>
      </c>
      <c r="C228" s="381"/>
      <c r="D228" s="381">
        <f>704.2-0.95</f>
        <v>703.25</v>
      </c>
      <c r="E228" s="385">
        <f t="shared" si="18"/>
        <v>703.25</v>
      </c>
      <c r="F228" s="173"/>
      <c r="G228" s="173" t="s">
        <v>460</v>
      </c>
      <c r="H228" s="173"/>
      <c r="I228" s="211">
        <f t="shared" si="19"/>
        <v>0</v>
      </c>
      <c r="J228" s="211">
        <f t="shared" si="20"/>
        <v>0</v>
      </c>
      <c r="K228" s="401">
        <f t="shared" si="17"/>
        <v>0</v>
      </c>
      <c r="L228" s="173" t="s">
        <v>458</v>
      </c>
    </row>
    <row r="229" spans="1:12" ht="12.75">
      <c r="A229" s="351"/>
      <c r="B229" s="361" t="s">
        <v>185</v>
      </c>
      <c r="C229" s="381">
        <v>199.2</v>
      </c>
      <c r="D229" s="381">
        <v>393.75</v>
      </c>
      <c r="E229" s="385">
        <f t="shared" si="18"/>
        <v>592.95</v>
      </c>
      <c r="F229" s="173"/>
      <c r="G229" s="173" t="s">
        <v>460</v>
      </c>
      <c r="H229" s="173"/>
      <c r="I229" s="211">
        <f t="shared" si="19"/>
        <v>0</v>
      </c>
      <c r="J229" s="211">
        <f t="shared" si="20"/>
        <v>0</v>
      </c>
      <c r="K229" s="401">
        <f t="shared" si="17"/>
        <v>0</v>
      </c>
      <c r="L229" s="173" t="s">
        <v>458</v>
      </c>
    </row>
    <row r="230" spans="1:12" ht="12.75">
      <c r="A230" s="351"/>
      <c r="B230" s="361" t="s">
        <v>186</v>
      </c>
      <c r="C230" s="381">
        <v>490.7</v>
      </c>
      <c r="D230" s="381"/>
      <c r="E230" s="385">
        <f t="shared" si="18"/>
        <v>490.7</v>
      </c>
      <c r="F230" s="173"/>
      <c r="G230" s="173" t="s">
        <v>458</v>
      </c>
      <c r="H230" s="173"/>
      <c r="I230" s="211">
        <f t="shared" si="19"/>
        <v>0</v>
      </c>
      <c r="J230" s="211">
        <f t="shared" si="20"/>
        <v>0</v>
      </c>
      <c r="K230" s="401">
        <f t="shared" si="17"/>
        <v>0</v>
      </c>
      <c r="L230" s="173" t="s">
        <v>458</v>
      </c>
    </row>
    <row r="231" spans="1:12" ht="12.75">
      <c r="A231" s="351"/>
      <c r="B231" s="361" t="s">
        <v>187</v>
      </c>
      <c r="C231" s="381">
        <v>0</v>
      </c>
      <c r="D231" s="381">
        <v>294.4</v>
      </c>
      <c r="E231" s="385">
        <f t="shared" si="18"/>
        <v>294.4</v>
      </c>
      <c r="F231" s="173"/>
      <c r="G231" s="173" t="s">
        <v>458</v>
      </c>
      <c r="H231" s="173"/>
      <c r="I231" s="211">
        <f t="shared" si="19"/>
        <v>0</v>
      </c>
      <c r="J231" s="211">
        <f t="shared" si="20"/>
        <v>0</v>
      </c>
      <c r="K231" s="401">
        <f t="shared" si="17"/>
        <v>0</v>
      </c>
      <c r="L231" s="173" t="s">
        <v>458</v>
      </c>
    </row>
    <row r="232" spans="1:12" ht="12.75">
      <c r="A232" s="351"/>
      <c r="B232" s="361" t="s">
        <v>188</v>
      </c>
      <c r="C232" s="381">
        <v>0</v>
      </c>
      <c r="D232" s="381">
        <v>370.05</v>
      </c>
      <c r="E232" s="385">
        <f t="shared" si="18"/>
        <v>370.05</v>
      </c>
      <c r="F232" s="173"/>
      <c r="G232" s="173" t="s">
        <v>458</v>
      </c>
      <c r="H232" s="173"/>
      <c r="I232" s="211">
        <f t="shared" si="19"/>
        <v>0</v>
      </c>
      <c r="J232" s="211">
        <f t="shared" si="20"/>
        <v>0</v>
      </c>
      <c r="K232" s="401">
        <f t="shared" si="17"/>
        <v>0</v>
      </c>
      <c r="L232" s="173" t="s">
        <v>458</v>
      </c>
    </row>
    <row r="233" spans="1:12" ht="12.75">
      <c r="A233" s="351"/>
      <c r="B233" s="361" t="s">
        <v>189</v>
      </c>
      <c r="C233" s="381">
        <v>69.24</v>
      </c>
      <c r="D233" s="381"/>
      <c r="E233" s="385">
        <f t="shared" si="18"/>
        <v>69.24</v>
      </c>
      <c r="F233" s="173"/>
      <c r="G233" s="173" t="s">
        <v>461</v>
      </c>
      <c r="H233" s="173"/>
      <c r="I233" s="211">
        <f t="shared" si="19"/>
        <v>0</v>
      </c>
      <c r="J233" s="211">
        <f t="shared" si="20"/>
        <v>0</v>
      </c>
      <c r="K233" s="401">
        <f t="shared" si="17"/>
        <v>0</v>
      </c>
      <c r="L233" s="173" t="s">
        <v>458</v>
      </c>
    </row>
    <row r="234" spans="1:12" ht="12.75">
      <c r="A234" s="351"/>
      <c r="B234" s="361" t="s">
        <v>190</v>
      </c>
      <c r="C234" s="381">
        <v>0</v>
      </c>
      <c r="D234" s="381">
        <v>387.85</v>
      </c>
      <c r="E234" s="385">
        <f t="shared" si="18"/>
        <v>387.85</v>
      </c>
      <c r="F234" s="173"/>
      <c r="G234" s="173" t="s">
        <v>458</v>
      </c>
      <c r="H234" s="173"/>
      <c r="I234" s="211">
        <f t="shared" si="19"/>
        <v>0</v>
      </c>
      <c r="J234" s="211">
        <f t="shared" si="20"/>
        <v>0</v>
      </c>
      <c r="K234" s="401">
        <f t="shared" si="17"/>
        <v>0</v>
      </c>
      <c r="L234" s="173" t="s">
        <v>458</v>
      </c>
    </row>
    <row r="235" spans="1:12" ht="12.75">
      <c r="A235" s="383"/>
      <c r="B235" s="361" t="s">
        <v>191</v>
      </c>
      <c r="C235" s="381">
        <v>495.89</v>
      </c>
      <c r="D235" s="381"/>
      <c r="E235" s="385">
        <f t="shared" si="18"/>
        <v>495.89</v>
      </c>
      <c r="F235" s="173"/>
      <c r="G235" s="173" t="s">
        <v>460</v>
      </c>
      <c r="H235" s="173"/>
      <c r="I235" s="211">
        <f t="shared" si="19"/>
        <v>0</v>
      </c>
      <c r="J235" s="211">
        <f t="shared" si="20"/>
        <v>0</v>
      </c>
      <c r="K235" s="401">
        <f t="shared" si="17"/>
        <v>0</v>
      </c>
      <c r="L235" s="173" t="s">
        <v>458</v>
      </c>
    </row>
    <row r="236" spans="1:12" ht="12.75">
      <c r="A236" s="351"/>
      <c r="B236" s="361" t="s">
        <v>192</v>
      </c>
      <c r="C236" s="381">
        <v>76.35</v>
      </c>
      <c r="D236" s="381">
        <v>10</v>
      </c>
      <c r="E236" s="385">
        <f t="shared" si="18"/>
        <v>86.35</v>
      </c>
      <c r="F236" s="173"/>
      <c r="G236" s="173" t="s">
        <v>462</v>
      </c>
      <c r="H236" s="173"/>
      <c r="I236" s="211">
        <f t="shared" si="19"/>
        <v>0</v>
      </c>
      <c r="J236" s="211">
        <f t="shared" si="20"/>
        <v>0</v>
      </c>
      <c r="K236" s="401">
        <f t="shared" si="17"/>
        <v>0</v>
      </c>
      <c r="L236" s="173" t="s">
        <v>458</v>
      </c>
    </row>
    <row r="237" spans="1:12" ht="12.75">
      <c r="A237" s="383"/>
      <c r="B237" s="361" t="s">
        <v>193</v>
      </c>
      <c r="C237" s="381">
        <v>471.84</v>
      </c>
      <c r="D237" s="381"/>
      <c r="E237" s="385">
        <f t="shared" si="18"/>
        <v>471.84</v>
      </c>
      <c r="F237" s="173"/>
      <c r="G237" s="173" t="s">
        <v>458</v>
      </c>
      <c r="H237" s="173"/>
      <c r="I237" s="211">
        <f t="shared" si="19"/>
        <v>0</v>
      </c>
      <c r="J237" s="211">
        <f t="shared" si="20"/>
        <v>0</v>
      </c>
      <c r="K237" s="401">
        <f t="shared" si="17"/>
        <v>0</v>
      </c>
      <c r="L237" s="173" t="s">
        <v>458</v>
      </c>
    </row>
    <row r="238" spans="1:12" ht="12.75">
      <c r="A238" s="351"/>
      <c r="B238" s="361" t="s">
        <v>194</v>
      </c>
      <c r="C238" s="381">
        <v>464.9</v>
      </c>
      <c r="D238" s="381"/>
      <c r="E238" s="385">
        <f t="shared" si="18"/>
        <v>464.9</v>
      </c>
      <c r="F238" s="173"/>
      <c r="G238" s="173" t="s">
        <v>458</v>
      </c>
      <c r="H238" s="173"/>
      <c r="I238" s="211">
        <f t="shared" si="19"/>
        <v>0</v>
      </c>
      <c r="J238" s="211">
        <f t="shared" si="20"/>
        <v>0</v>
      </c>
      <c r="K238" s="401">
        <f t="shared" si="17"/>
        <v>0</v>
      </c>
      <c r="L238" s="173" t="s">
        <v>458</v>
      </c>
    </row>
    <row r="239" spans="1:12" ht="12.75">
      <c r="A239" s="351"/>
      <c r="B239" s="361" t="s">
        <v>195</v>
      </c>
      <c r="C239" s="381">
        <v>0</v>
      </c>
      <c r="D239" s="381">
        <v>967.55</v>
      </c>
      <c r="E239" s="385">
        <f t="shared" si="18"/>
        <v>967.55</v>
      </c>
      <c r="F239" s="173"/>
      <c r="G239" s="173" t="s">
        <v>458</v>
      </c>
      <c r="H239" s="173"/>
      <c r="I239" s="211">
        <f t="shared" si="19"/>
        <v>0</v>
      </c>
      <c r="J239" s="211">
        <f t="shared" si="20"/>
        <v>0</v>
      </c>
      <c r="K239" s="401">
        <f t="shared" si="17"/>
        <v>0</v>
      </c>
      <c r="L239" s="173" t="s">
        <v>458</v>
      </c>
    </row>
    <row r="240" spans="1:12" ht="12.75">
      <c r="A240" s="351"/>
      <c r="B240" s="361" t="s">
        <v>196</v>
      </c>
      <c r="C240" s="381">
        <v>434.8</v>
      </c>
      <c r="D240" s="381">
        <v>0</v>
      </c>
      <c r="E240" s="385">
        <f t="shared" si="18"/>
        <v>434.8</v>
      </c>
      <c r="F240" s="173"/>
      <c r="G240" s="173" t="s">
        <v>458</v>
      </c>
      <c r="H240" s="173"/>
      <c r="I240" s="211">
        <f t="shared" si="19"/>
        <v>0</v>
      </c>
      <c r="J240" s="211">
        <f t="shared" si="20"/>
        <v>0</v>
      </c>
      <c r="K240" s="401">
        <f t="shared" si="17"/>
        <v>0</v>
      </c>
      <c r="L240" s="173" t="s">
        <v>458</v>
      </c>
    </row>
    <row r="241" spans="1:12" ht="12.75">
      <c r="A241" s="351"/>
      <c r="B241" s="361" t="s">
        <v>198</v>
      </c>
      <c r="C241" s="381">
        <v>0</v>
      </c>
      <c r="D241" s="381">
        <f>190.5-2</f>
        <v>188.5</v>
      </c>
      <c r="E241" s="385">
        <f>IF((C241+D241=0),"",C241+D241)</f>
        <v>188.5</v>
      </c>
      <c r="F241" s="173"/>
      <c r="G241" s="173" t="s">
        <v>404</v>
      </c>
      <c r="H241" s="173"/>
      <c r="I241" s="211">
        <f t="shared" si="19"/>
        <v>0</v>
      </c>
      <c r="J241" s="211">
        <f t="shared" si="20"/>
        <v>0</v>
      </c>
      <c r="K241" s="401">
        <f t="shared" si="17"/>
        <v>0</v>
      </c>
      <c r="L241" s="173" t="s">
        <v>458</v>
      </c>
    </row>
    <row r="242" spans="1:12" ht="12.75">
      <c r="A242" s="351"/>
      <c r="B242" s="361" t="s">
        <v>197</v>
      </c>
      <c r="C242" s="381">
        <v>0</v>
      </c>
      <c r="D242" s="381">
        <v>167.7</v>
      </c>
      <c r="E242" s="385">
        <f t="shared" si="18"/>
        <v>167.7</v>
      </c>
      <c r="F242" s="173"/>
      <c r="G242" s="173" t="s">
        <v>458</v>
      </c>
      <c r="H242" s="173"/>
      <c r="I242" s="211">
        <f t="shared" si="19"/>
        <v>0</v>
      </c>
      <c r="J242" s="211">
        <f t="shared" si="20"/>
        <v>0</v>
      </c>
      <c r="K242" s="401">
        <f t="shared" si="17"/>
        <v>0</v>
      </c>
      <c r="L242" s="173" t="s">
        <v>458</v>
      </c>
    </row>
    <row r="243" spans="1:12" ht="12.75">
      <c r="A243" s="351"/>
      <c r="B243" s="361" t="s">
        <v>1222</v>
      </c>
      <c r="C243" s="381">
        <v>154</v>
      </c>
      <c r="D243" s="381">
        <v>43</v>
      </c>
      <c r="E243" s="385">
        <f t="shared" si="18"/>
        <v>197</v>
      </c>
      <c r="F243" s="173"/>
      <c r="G243" s="173" t="s">
        <v>404</v>
      </c>
      <c r="H243" s="173"/>
      <c r="I243" s="211">
        <f t="shared" si="19"/>
        <v>0</v>
      </c>
      <c r="J243" s="211">
        <f t="shared" si="20"/>
        <v>0</v>
      </c>
      <c r="K243" s="401">
        <f t="shared" si="17"/>
        <v>0</v>
      </c>
      <c r="L243" s="173" t="s">
        <v>458</v>
      </c>
    </row>
    <row r="244" spans="1:12" ht="12.75">
      <c r="A244" s="351"/>
      <c r="B244" s="361" t="s">
        <v>199</v>
      </c>
      <c r="C244" s="381">
        <v>27.95</v>
      </c>
      <c r="D244" s="381">
        <v>86.07</v>
      </c>
      <c r="E244" s="385">
        <f>IF((C244+D244=0),"",C244+D244)</f>
        <v>114.02</v>
      </c>
      <c r="F244" s="173"/>
      <c r="G244" s="173" t="s">
        <v>404</v>
      </c>
      <c r="H244" s="173"/>
      <c r="I244" s="211">
        <f t="shared" si="19"/>
        <v>0</v>
      </c>
      <c r="J244" s="211">
        <f t="shared" si="20"/>
        <v>0</v>
      </c>
      <c r="K244" s="401">
        <f t="shared" si="17"/>
        <v>0</v>
      </c>
      <c r="L244" s="173" t="s">
        <v>458</v>
      </c>
    </row>
    <row r="245" spans="1:12" ht="12.75">
      <c r="A245" s="351"/>
      <c r="B245" s="361" t="s">
        <v>1239</v>
      </c>
      <c r="C245" s="381">
        <v>0</v>
      </c>
      <c r="D245" s="385">
        <v>40</v>
      </c>
      <c r="E245" s="385">
        <f t="shared" si="18"/>
        <v>40</v>
      </c>
      <c r="F245" s="173"/>
      <c r="G245" s="173" t="s">
        <v>404</v>
      </c>
      <c r="H245" s="173"/>
      <c r="I245" s="211">
        <f t="shared" si="19"/>
        <v>0</v>
      </c>
      <c r="J245" s="211">
        <f t="shared" si="20"/>
        <v>0</v>
      </c>
      <c r="K245" s="401">
        <f t="shared" si="17"/>
        <v>0</v>
      </c>
      <c r="L245" s="204" t="s">
        <v>458</v>
      </c>
    </row>
    <row r="246" spans="1:12" ht="12.75">
      <c r="A246" s="339"/>
      <c r="B246" s="361" t="s">
        <v>389</v>
      </c>
      <c r="C246" s="381">
        <f>SUM(C211:C245)</f>
        <v>7844.27</v>
      </c>
      <c r="D246" s="381">
        <f>SUM(D211:D245)</f>
        <v>5572.15</v>
      </c>
      <c r="E246" s="381">
        <f>SUM(E211:E245)</f>
        <v>13416.419999999998</v>
      </c>
      <c r="F246" s="173"/>
      <c r="G246" s="173"/>
      <c r="H246" s="436"/>
      <c r="I246" s="437"/>
      <c r="J246" s="437"/>
      <c r="K246" s="438">
        <f>SUM(K211:K245)</f>
        <v>12544.150000000001</v>
      </c>
      <c r="L246" s="436"/>
    </row>
    <row r="247" spans="1:11" ht="12.75">
      <c r="A247" s="339"/>
      <c r="B247" s="172"/>
      <c r="C247" s="342"/>
      <c r="D247" s="342"/>
      <c r="E247" s="342"/>
      <c r="F247" s="173"/>
      <c r="G247" s="173"/>
      <c r="H247" s="173"/>
      <c r="I247" s="211"/>
      <c r="J247" s="211"/>
      <c r="K247" s="401"/>
    </row>
    <row r="248" spans="1:11" ht="12.75">
      <c r="A248" s="339" t="s">
        <v>463</v>
      </c>
      <c r="B248" s="172"/>
      <c r="C248" s="342"/>
      <c r="D248" s="338"/>
      <c r="E248" s="338"/>
      <c r="F248" s="173"/>
      <c r="G248" s="173"/>
      <c r="H248" s="173"/>
      <c r="I248" s="211"/>
      <c r="J248" s="211"/>
      <c r="K248" s="401"/>
    </row>
    <row r="249" spans="1:12" ht="12.75">
      <c r="A249" s="351"/>
      <c r="B249" s="361" t="s">
        <v>1089</v>
      </c>
      <c r="C249" s="381">
        <v>47.25</v>
      </c>
      <c r="D249" s="381"/>
      <c r="E249" s="385">
        <f>IF((C249+D249=0),"",C249+D249)</f>
        <v>47.25</v>
      </c>
      <c r="F249" s="173"/>
      <c r="G249" s="173" t="s">
        <v>464</v>
      </c>
      <c r="H249" s="173" t="s">
        <v>464</v>
      </c>
      <c r="I249" s="211">
        <f>SUMIF($G$9:$G$647,H249,$C$9:$C$647)</f>
        <v>47.25</v>
      </c>
      <c r="J249" s="211">
        <f>SUMIF($G$9:$G$647,H249,$D$9:$D$647)</f>
        <v>268.85</v>
      </c>
      <c r="K249" s="401">
        <f>SUM(I249:J249)</f>
        <v>316.1</v>
      </c>
      <c r="L249" s="173" t="s">
        <v>464</v>
      </c>
    </row>
    <row r="250" spans="1:12" ht="12.75">
      <c r="A250" s="351"/>
      <c r="B250" s="361" t="s">
        <v>1090</v>
      </c>
      <c r="C250" s="381"/>
      <c r="D250" s="381">
        <v>39.5</v>
      </c>
      <c r="E250" s="385">
        <f>IF((C250+D250=0),"",C250+D250)</f>
        <v>39.5</v>
      </c>
      <c r="F250" s="173"/>
      <c r="G250" s="173" t="s">
        <v>464</v>
      </c>
      <c r="H250" s="173"/>
      <c r="I250" s="211">
        <f>SUMIF($G$9:$G$647,H250,$C$9:$C$647)</f>
        <v>0</v>
      </c>
      <c r="J250" s="211">
        <f>SUMIF($G$9:$G$647,H250,$D$9:$D$647)</f>
        <v>0</v>
      </c>
      <c r="K250" s="401">
        <f t="shared" si="17"/>
        <v>0</v>
      </c>
      <c r="L250" s="173" t="s">
        <v>464</v>
      </c>
    </row>
    <row r="251" spans="1:12" ht="12.75">
      <c r="A251" s="351"/>
      <c r="B251" s="361" t="s">
        <v>200</v>
      </c>
      <c r="C251" s="381"/>
      <c r="D251" s="381">
        <f>229.45-0.1</f>
        <v>229.35</v>
      </c>
      <c r="E251" s="385">
        <f>IF((C251+D251=0),"",C251+D251)</f>
        <v>229.35</v>
      </c>
      <c r="F251" s="173"/>
      <c r="G251" s="173" t="s">
        <v>464</v>
      </c>
      <c r="H251" s="173"/>
      <c r="I251" s="211">
        <f>SUMIF($G$9:$G$647,H251,$C$9:$C$647)</f>
        <v>0</v>
      </c>
      <c r="J251" s="211">
        <f>SUMIF($G$9:$G$647,H251,$D$9:$D$647)</f>
        <v>0</v>
      </c>
      <c r="K251" s="401">
        <f t="shared" si="17"/>
        <v>0</v>
      </c>
      <c r="L251" s="173" t="s">
        <v>464</v>
      </c>
    </row>
    <row r="252" spans="1:12" ht="12.75">
      <c r="A252" s="339"/>
      <c r="B252" s="361" t="s">
        <v>389</v>
      </c>
      <c r="C252" s="381">
        <f>SUM(C249:C251)</f>
        <v>47.25</v>
      </c>
      <c r="D252" s="381">
        <f>SUM(D249:D251)</f>
        <v>268.85</v>
      </c>
      <c r="E252" s="381">
        <f>SUM(E249:E251)</f>
        <v>316.1</v>
      </c>
      <c r="F252" s="173"/>
      <c r="G252" s="173"/>
      <c r="H252" s="436"/>
      <c r="I252" s="437"/>
      <c r="J252" s="437"/>
      <c r="K252" s="438">
        <f>SUM(K249:K251)</f>
        <v>316.1</v>
      </c>
      <c r="L252" s="436"/>
    </row>
    <row r="253" spans="1:11" ht="12.75">
      <c r="A253" s="339"/>
      <c r="B253" s="172"/>
      <c r="C253" s="342"/>
      <c r="D253" s="342"/>
      <c r="E253" s="342"/>
      <c r="F253" s="173"/>
      <c r="G253" s="173"/>
      <c r="H253" s="173"/>
      <c r="I253" s="211"/>
      <c r="J253" s="211"/>
      <c r="K253" s="401"/>
    </row>
    <row r="254" spans="1:11" ht="12.75">
      <c r="A254" s="339" t="s">
        <v>465</v>
      </c>
      <c r="B254" s="172"/>
      <c r="C254" s="342"/>
      <c r="D254" s="338"/>
      <c r="E254" s="338"/>
      <c r="F254" s="173"/>
      <c r="G254" s="173"/>
      <c r="H254" s="173"/>
      <c r="I254" s="211"/>
      <c r="J254" s="211"/>
      <c r="K254" s="401"/>
    </row>
    <row r="255" spans="1:12" ht="12.75">
      <c r="A255" s="351"/>
      <c r="B255" s="361" t="s">
        <v>1080</v>
      </c>
      <c r="C255" s="381">
        <v>145.2</v>
      </c>
      <c r="D255" s="381">
        <v>31</v>
      </c>
      <c r="E255" s="385">
        <f>IF((C255+D255=0),"",C255+D255)</f>
        <v>176.2</v>
      </c>
      <c r="F255" s="173"/>
      <c r="G255" s="173" t="s">
        <v>466</v>
      </c>
      <c r="H255" s="173" t="s">
        <v>466</v>
      </c>
      <c r="I255" s="211">
        <f>SUMIF($G$9:$G$647,H255,$C$9:$C$647)</f>
        <v>145.2</v>
      </c>
      <c r="J255" s="211">
        <f>SUMIF($G$9:$G$647,H255,$D$9:$D$647)</f>
        <v>107.77</v>
      </c>
      <c r="K255" s="401">
        <f>SUM(I255:J255)</f>
        <v>252.96999999999997</v>
      </c>
      <c r="L255" s="173" t="s">
        <v>466</v>
      </c>
    </row>
    <row r="256" spans="1:12" ht="12.75">
      <c r="A256" s="351"/>
      <c r="B256" s="361" t="s">
        <v>201</v>
      </c>
      <c r="C256" s="381"/>
      <c r="D256" s="381">
        <v>76.77</v>
      </c>
      <c r="E256" s="385">
        <f>IF((C256+D256=0),"",C256+D256)</f>
        <v>76.77</v>
      </c>
      <c r="F256" s="173"/>
      <c r="G256" s="173" t="s">
        <v>466</v>
      </c>
      <c r="H256" s="173"/>
      <c r="I256" s="211">
        <f>SUMIF($G$9:$G$647,H256,$C$9:$C$647)</f>
        <v>0</v>
      </c>
      <c r="J256" s="211">
        <f>SUMIF($G$9:$G$647,H256,$D$9:$D$647)</f>
        <v>0</v>
      </c>
      <c r="K256" s="401">
        <f>SUM(I256:J256)</f>
        <v>0</v>
      </c>
      <c r="L256" s="173" t="s">
        <v>466</v>
      </c>
    </row>
    <row r="257" spans="1:12" ht="12.75">
      <c r="A257" s="339"/>
      <c r="B257" s="361" t="s">
        <v>389</v>
      </c>
      <c r="C257" s="381">
        <f>SUM(C255:C256)</f>
        <v>145.2</v>
      </c>
      <c r="D257" s="381">
        <f>SUM(D255:D256)</f>
        <v>107.77</v>
      </c>
      <c r="E257" s="381">
        <f>SUM(E255:E256)</f>
        <v>252.96999999999997</v>
      </c>
      <c r="F257" s="173"/>
      <c r="G257" s="173"/>
      <c r="H257" s="436"/>
      <c r="I257" s="437"/>
      <c r="J257" s="437"/>
      <c r="K257" s="438">
        <f>SUM(I257:J257)</f>
        <v>0</v>
      </c>
      <c r="L257" s="436"/>
    </row>
    <row r="258" spans="1:11" ht="12.75">
      <c r="A258" s="339"/>
      <c r="B258" s="172"/>
      <c r="C258" s="342"/>
      <c r="D258" s="342"/>
      <c r="E258" s="342"/>
      <c r="F258" s="173"/>
      <c r="G258" s="173"/>
      <c r="I258" s="211"/>
      <c r="J258" s="211"/>
      <c r="K258" s="401"/>
    </row>
    <row r="259" spans="1:12" ht="12.75">
      <c r="A259" s="339" t="s">
        <v>467</v>
      </c>
      <c r="B259" s="172"/>
      <c r="C259" s="342"/>
      <c r="D259" s="338"/>
      <c r="E259" s="338"/>
      <c r="F259" s="173"/>
      <c r="G259" s="173"/>
      <c r="H259" s="173"/>
      <c r="I259" s="211"/>
      <c r="J259" s="211"/>
      <c r="K259" s="401"/>
      <c r="L259" s="173"/>
    </row>
    <row r="260" spans="1:12" ht="12.75">
      <c r="A260" s="351"/>
      <c r="B260" s="361" t="s">
        <v>1111</v>
      </c>
      <c r="C260" s="381">
        <v>58.75</v>
      </c>
      <c r="D260" s="381"/>
      <c r="E260" s="385">
        <f>IF((C260+D260=0),"",C260+D260)</f>
        <v>58.75</v>
      </c>
      <c r="F260" s="173"/>
      <c r="G260" s="173" t="s">
        <v>468</v>
      </c>
      <c r="H260" s="173" t="s">
        <v>468</v>
      </c>
      <c r="I260" s="211">
        <f>SUMIF($G$9:$G$647,H260,$C$9:$C$647)</f>
        <v>68.25</v>
      </c>
      <c r="J260" s="211">
        <f>SUMIF($G$9:$G$647,H260,$D$9:$D$647)</f>
        <v>49</v>
      </c>
      <c r="K260" s="401">
        <f>SUM(I260:J260)</f>
        <v>117.25</v>
      </c>
      <c r="L260" s="173" t="s">
        <v>468</v>
      </c>
    </row>
    <row r="261" spans="1:12" ht="12.75">
      <c r="A261" s="351"/>
      <c r="B261" s="361" t="s">
        <v>1112</v>
      </c>
      <c r="C261" s="381">
        <v>9.5</v>
      </c>
      <c r="D261" s="381">
        <v>49</v>
      </c>
      <c r="E261" s="385">
        <f>IF((C261+D261=0),"",C261+D261)</f>
        <v>58.5</v>
      </c>
      <c r="F261" s="173"/>
      <c r="G261" s="173" t="s">
        <v>468</v>
      </c>
      <c r="H261" s="173"/>
      <c r="I261" s="211">
        <f>SUMIF($G$9:$G$647,H261,$C$9:$C$647)</f>
        <v>0</v>
      </c>
      <c r="J261" s="211">
        <f>SUMIF($G$9:$G$647,H261,$D$9:$D$647)</f>
        <v>0</v>
      </c>
      <c r="K261" s="401">
        <f aca="true" t="shared" si="21" ref="K261:K316">SUM(I261:J261)</f>
        <v>0</v>
      </c>
      <c r="L261" s="173" t="s">
        <v>468</v>
      </c>
    </row>
    <row r="262" spans="1:12" ht="12.75">
      <c r="A262" s="339"/>
      <c r="B262" s="361" t="s">
        <v>389</v>
      </c>
      <c r="C262" s="381">
        <f>SUM(C260:C261)</f>
        <v>68.25</v>
      </c>
      <c r="D262" s="381">
        <f>SUM(D260:D261)</f>
        <v>49</v>
      </c>
      <c r="E262" s="381">
        <f>SUM(E260:E261)</f>
        <v>117.25</v>
      </c>
      <c r="F262" s="173"/>
      <c r="G262" s="173"/>
      <c r="H262" s="436"/>
      <c r="I262" s="437"/>
      <c r="J262" s="437"/>
      <c r="K262" s="438">
        <f t="shared" si="21"/>
        <v>0</v>
      </c>
      <c r="L262" s="436"/>
    </row>
    <row r="263" spans="1:11" ht="12.75">
      <c r="A263" s="339"/>
      <c r="B263" s="172"/>
      <c r="C263" s="342"/>
      <c r="D263" s="342"/>
      <c r="E263" s="342"/>
      <c r="F263" s="173"/>
      <c r="G263" s="173"/>
      <c r="I263" s="211"/>
      <c r="J263" s="211"/>
      <c r="K263" s="401"/>
    </row>
    <row r="264" spans="1:11" ht="12.75">
      <c r="A264" s="339" t="s">
        <v>469</v>
      </c>
      <c r="B264" s="172"/>
      <c r="C264" s="342"/>
      <c r="D264" s="338"/>
      <c r="E264" s="338"/>
      <c r="F264" s="173"/>
      <c r="G264" s="173"/>
      <c r="H264" s="173"/>
      <c r="I264" s="211"/>
      <c r="J264" s="211"/>
      <c r="K264" s="401"/>
    </row>
    <row r="265" spans="1:12" ht="12.75">
      <c r="A265" s="351"/>
      <c r="B265" s="361" t="s">
        <v>1240</v>
      </c>
      <c r="C265" s="381">
        <v>46.3</v>
      </c>
      <c r="D265" s="381">
        <f>28-0.6</f>
        <v>27.4</v>
      </c>
      <c r="E265" s="385">
        <f>IF((C265+D265=0),"",C265+D265)</f>
        <v>73.69999999999999</v>
      </c>
      <c r="F265" s="173"/>
      <c r="G265" s="173" t="s">
        <v>470</v>
      </c>
      <c r="H265" s="173" t="s">
        <v>470</v>
      </c>
      <c r="I265" s="211">
        <f>SUMIF($G$9:$G$647,H265,$C$9:$C$647)</f>
        <v>46.3</v>
      </c>
      <c r="J265" s="211">
        <f>SUMIF($G$9:$G$647,H265,$D$9:$D$647)</f>
        <v>27.4</v>
      </c>
      <c r="K265" s="401">
        <f>SUM(I265:J265)</f>
        <v>73.69999999999999</v>
      </c>
      <c r="L265" s="173" t="s">
        <v>470</v>
      </c>
    </row>
    <row r="266" spans="1:12" ht="12.75">
      <c r="A266" s="339"/>
      <c r="B266" s="361" t="s">
        <v>389</v>
      </c>
      <c r="C266" s="381">
        <f>SUM(C265:C265)</f>
        <v>46.3</v>
      </c>
      <c r="D266" s="381">
        <f>SUM(D265:D265)</f>
        <v>27.4</v>
      </c>
      <c r="E266" s="381">
        <f>SUM(E265:E265)</f>
        <v>73.69999999999999</v>
      </c>
      <c r="F266" s="173"/>
      <c r="G266" s="173"/>
      <c r="H266" s="436"/>
      <c r="I266" s="437"/>
      <c r="J266" s="437"/>
      <c r="K266" s="438">
        <f t="shared" si="21"/>
        <v>0</v>
      </c>
      <c r="L266" s="436"/>
    </row>
    <row r="267" spans="1:11" ht="12.75">
      <c r="A267" s="339"/>
      <c r="B267" s="172"/>
      <c r="C267" s="342"/>
      <c r="D267" s="342"/>
      <c r="E267" s="342"/>
      <c r="F267" s="173"/>
      <c r="G267" s="173"/>
      <c r="I267" s="211"/>
      <c r="J267" s="211"/>
      <c r="K267" s="401"/>
    </row>
    <row r="268" spans="1:11" ht="12.75">
      <c r="A268" s="339" t="s">
        <v>471</v>
      </c>
      <c r="B268" s="172"/>
      <c r="C268" s="342"/>
      <c r="D268" s="338"/>
      <c r="E268" s="338"/>
      <c r="F268" s="173"/>
      <c r="G268" s="173"/>
      <c r="H268" s="173"/>
      <c r="I268" s="211"/>
      <c r="J268" s="211"/>
      <c r="K268" s="401"/>
    </row>
    <row r="269" spans="1:12" ht="12.75">
      <c r="A269" s="351"/>
      <c r="B269" s="361" t="s">
        <v>1113</v>
      </c>
      <c r="C269" s="381">
        <f>13-1</f>
        <v>12</v>
      </c>
      <c r="D269" s="381">
        <v>6.6</v>
      </c>
      <c r="E269" s="385">
        <f aca="true" t="shared" si="22" ref="E269:E275">IF((C269+D269=0),"",C269+D269)</f>
        <v>18.6</v>
      </c>
      <c r="F269" s="173"/>
      <c r="G269" s="173" t="s">
        <v>472</v>
      </c>
      <c r="H269" s="173" t="s">
        <v>472</v>
      </c>
      <c r="I269" s="211">
        <f aca="true" t="shared" si="23" ref="I269:I275">SUMIF($G$9:$G$647,H269,$C$9:$C$647)</f>
        <v>12</v>
      </c>
      <c r="J269" s="211">
        <f aca="true" t="shared" si="24" ref="J269:J275">SUMIF($G$9:$G$647,H269,$D$9:$D$647)</f>
        <v>6.6</v>
      </c>
      <c r="K269" s="401">
        <f t="shared" si="21"/>
        <v>18.6</v>
      </c>
      <c r="L269" s="173" t="s">
        <v>290</v>
      </c>
    </row>
    <row r="270" spans="1:12" ht="12.75">
      <c r="A270" s="351"/>
      <c r="B270" s="361" t="s">
        <v>1114</v>
      </c>
      <c r="C270" s="381">
        <v>30</v>
      </c>
      <c r="D270" s="381">
        <f>16.55-1</f>
        <v>15.55</v>
      </c>
      <c r="E270" s="385">
        <f t="shared" si="22"/>
        <v>45.55</v>
      </c>
      <c r="F270" s="173"/>
      <c r="G270" s="173" t="s">
        <v>473</v>
      </c>
      <c r="H270" s="173" t="s">
        <v>473</v>
      </c>
      <c r="I270" s="211">
        <f t="shared" si="23"/>
        <v>30</v>
      </c>
      <c r="J270" s="211">
        <f t="shared" si="24"/>
        <v>15.55</v>
      </c>
      <c r="K270" s="401">
        <f t="shared" si="21"/>
        <v>45.55</v>
      </c>
      <c r="L270" s="173" t="s">
        <v>290</v>
      </c>
    </row>
    <row r="271" spans="1:12" ht="12.75">
      <c r="A271" s="351"/>
      <c r="B271" s="361" t="s">
        <v>202</v>
      </c>
      <c r="C271" s="381">
        <f>18.6-0.7</f>
        <v>17.900000000000002</v>
      </c>
      <c r="D271" s="381">
        <f>11-1.2</f>
        <v>9.8</v>
      </c>
      <c r="E271" s="385">
        <f t="shared" si="22"/>
        <v>27.700000000000003</v>
      </c>
      <c r="F271" s="173"/>
      <c r="G271" s="173" t="s">
        <v>474</v>
      </c>
      <c r="H271" s="173" t="s">
        <v>474</v>
      </c>
      <c r="I271" s="211">
        <f t="shared" si="23"/>
        <v>17.900000000000002</v>
      </c>
      <c r="J271" s="211">
        <f t="shared" si="24"/>
        <v>9.8</v>
      </c>
      <c r="K271" s="401">
        <f t="shared" si="21"/>
        <v>27.700000000000003</v>
      </c>
      <c r="L271" s="173" t="s">
        <v>290</v>
      </c>
    </row>
    <row r="272" spans="1:12" ht="12.75">
      <c r="A272" s="351"/>
      <c r="B272" s="361" t="s">
        <v>1115</v>
      </c>
      <c r="C272" s="381">
        <f>10-1</f>
        <v>9</v>
      </c>
      <c r="D272" s="381">
        <f>4-0.3</f>
        <v>3.7</v>
      </c>
      <c r="E272" s="385">
        <f t="shared" si="22"/>
        <v>12.7</v>
      </c>
      <c r="F272" s="173"/>
      <c r="G272" s="173" t="s">
        <v>475</v>
      </c>
      <c r="H272" s="173" t="s">
        <v>476</v>
      </c>
      <c r="I272" s="211">
        <f t="shared" si="23"/>
        <v>23.349999999999998</v>
      </c>
      <c r="J272" s="211">
        <f t="shared" si="24"/>
        <v>12.25</v>
      </c>
      <c r="K272" s="401">
        <f t="shared" si="21"/>
        <v>35.599999999999994</v>
      </c>
      <c r="L272" s="173" t="s">
        <v>290</v>
      </c>
    </row>
    <row r="273" spans="1:12" ht="12.75">
      <c r="A273" s="351"/>
      <c r="B273" s="361" t="s">
        <v>203</v>
      </c>
      <c r="C273" s="381">
        <f>24.7-1.35</f>
        <v>23.349999999999998</v>
      </c>
      <c r="D273" s="381">
        <v>12.25</v>
      </c>
      <c r="E273" s="385">
        <f t="shared" si="22"/>
        <v>35.599999999999994</v>
      </c>
      <c r="F273" s="173"/>
      <c r="G273" s="173" t="s">
        <v>476</v>
      </c>
      <c r="H273" s="173" t="s">
        <v>478</v>
      </c>
      <c r="I273" s="211">
        <f t="shared" si="23"/>
        <v>8</v>
      </c>
      <c r="J273" s="211">
        <f t="shared" si="24"/>
        <v>3</v>
      </c>
      <c r="K273" s="401">
        <f t="shared" si="21"/>
        <v>11</v>
      </c>
      <c r="L273" s="173" t="s">
        <v>290</v>
      </c>
    </row>
    <row r="274" spans="1:12" ht="12.75">
      <c r="A274" s="351"/>
      <c r="B274" s="361" t="s">
        <v>204</v>
      </c>
      <c r="C274" s="381">
        <v>15</v>
      </c>
      <c r="D274" s="381">
        <v>6</v>
      </c>
      <c r="E274" s="385">
        <f t="shared" si="22"/>
        <v>21</v>
      </c>
      <c r="F274" s="173"/>
      <c r="G274" s="173" t="s">
        <v>477</v>
      </c>
      <c r="H274" s="173" t="s">
        <v>475</v>
      </c>
      <c r="I274" s="211">
        <f t="shared" si="23"/>
        <v>9</v>
      </c>
      <c r="J274" s="211">
        <f t="shared" si="24"/>
        <v>3.7</v>
      </c>
      <c r="K274" s="401">
        <f t="shared" si="21"/>
        <v>12.7</v>
      </c>
      <c r="L274" s="173" t="s">
        <v>290</v>
      </c>
    </row>
    <row r="275" spans="1:12" ht="12.75">
      <c r="A275" s="351"/>
      <c r="B275" s="361" t="s">
        <v>1116</v>
      </c>
      <c r="C275" s="381">
        <v>8</v>
      </c>
      <c r="D275" s="381">
        <v>3</v>
      </c>
      <c r="E275" s="385">
        <f t="shared" si="22"/>
        <v>11</v>
      </c>
      <c r="F275" s="173"/>
      <c r="G275" s="173" t="s">
        <v>478</v>
      </c>
      <c r="H275" s="173" t="s">
        <v>477</v>
      </c>
      <c r="I275" s="211">
        <f t="shared" si="23"/>
        <v>15</v>
      </c>
      <c r="J275" s="211">
        <f t="shared" si="24"/>
        <v>6</v>
      </c>
      <c r="K275" s="401">
        <f t="shared" si="21"/>
        <v>21</v>
      </c>
      <c r="L275" s="173" t="s">
        <v>290</v>
      </c>
    </row>
    <row r="276" spans="1:12" ht="12.75">
      <c r="A276" s="339"/>
      <c r="B276" s="361" t="s">
        <v>389</v>
      </c>
      <c r="C276" s="381">
        <f>SUM(C269:C275)</f>
        <v>115.25</v>
      </c>
      <c r="D276" s="381">
        <f>SUM(D269:D275)</f>
        <v>56.9</v>
      </c>
      <c r="E276" s="381">
        <f>SUM(E269:E275)</f>
        <v>172.15</v>
      </c>
      <c r="F276" s="173"/>
      <c r="G276" s="173"/>
      <c r="H276" s="436"/>
      <c r="I276" s="437"/>
      <c r="J276" s="437"/>
      <c r="K276" s="438">
        <f>SUM(K269:K275)</f>
        <v>172.14999999999998</v>
      </c>
      <c r="L276" s="436"/>
    </row>
    <row r="277" spans="1:11" ht="12.75">
      <c r="A277" s="339"/>
      <c r="B277" s="172"/>
      <c r="C277" s="342"/>
      <c r="D277" s="342"/>
      <c r="E277" s="342"/>
      <c r="F277" s="173"/>
      <c r="G277" s="173"/>
      <c r="H277" s="173"/>
      <c r="I277" s="211"/>
      <c r="J277" s="211"/>
      <c r="K277" s="401"/>
    </row>
    <row r="278" spans="1:11" ht="12.75">
      <c r="A278" s="339" t="s">
        <v>479</v>
      </c>
      <c r="B278" s="172"/>
      <c r="C278" s="342"/>
      <c r="D278" s="338"/>
      <c r="E278" s="338"/>
      <c r="F278" s="173"/>
      <c r="G278" s="173"/>
      <c r="H278" s="173"/>
      <c r="I278" s="211"/>
      <c r="J278" s="211"/>
      <c r="K278" s="401"/>
    </row>
    <row r="279" spans="1:12" ht="12.75">
      <c r="A279" s="351"/>
      <c r="B279" s="361" t="s">
        <v>205</v>
      </c>
      <c r="C279" s="381">
        <v>386.55</v>
      </c>
      <c r="D279" s="381"/>
      <c r="E279" s="385">
        <f aca="true" t="shared" si="25" ref="E279:E292">IF((C279+D279=0),"",C279+D279)</f>
        <v>386.55</v>
      </c>
      <c r="F279" s="173"/>
      <c r="G279" s="173" t="s">
        <v>480</v>
      </c>
      <c r="H279" s="173" t="s">
        <v>480</v>
      </c>
      <c r="I279" s="211">
        <f aca="true" t="shared" si="26" ref="I279:I292">SUMIF($G$9:$G$647,H279,$C$9:$C$647)</f>
        <v>2486.9</v>
      </c>
      <c r="J279" s="211">
        <f aca="true" t="shared" si="27" ref="J279:J292">SUMIF($G$9:$G$647,H279,$D$9:$D$647)</f>
        <v>2035.81</v>
      </c>
      <c r="K279" s="401">
        <f>SUM(I279:J279)</f>
        <v>4522.71</v>
      </c>
      <c r="L279" s="173" t="s">
        <v>480</v>
      </c>
    </row>
    <row r="280" spans="1:12" ht="12.75">
      <c r="A280" s="351"/>
      <c r="B280" s="361" t="s">
        <v>206</v>
      </c>
      <c r="C280" s="381">
        <v>178</v>
      </c>
      <c r="D280" s="381">
        <v>338.9</v>
      </c>
      <c r="E280" s="385">
        <f t="shared" si="25"/>
        <v>516.9</v>
      </c>
      <c r="F280" s="173"/>
      <c r="G280" s="173" t="s">
        <v>480</v>
      </c>
      <c r="H280" s="173"/>
      <c r="I280" s="211">
        <f t="shared" si="26"/>
        <v>0</v>
      </c>
      <c r="J280" s="211">
        <f t="shared" si="27"/>
        <v>0</v>
      </c>
      <c r="K280" s="401">
        <f t="shared" si="21"/>
        <v>0</v>
      </c>
      <c r="L280" s="173" t="s">
        <v>480</v>
      </c>
    </row>
    <row r="281" spans="1:12" ht="12.75">
      <c r="A281" s="351"/>
      <c r="B281" s="361" t="s">
        <v>207</v>
      </c>
      <c r="C281" s="381">
        <f>167.8-0.05</f>
        <v>167.75</v>
      </c>
      <c r="D281" s="381">
        <v>278.1</v>
      </c>
      <c r="E281" s="385">
        <f t="shared" si="25"/>
        <v>445.85</v>
      </c>
      <c r="F281" s="173"/>
      <c r="G281" s="173" t="s">
        <v>480</v>
      </c>
      <c r="H281" s="173"/>
      <c r="I281" s="211">
        <f t="shared" si="26"/>
        <v>0</v>
      </c>
      <c r="J281" s="211">
        <f t="shared" si="27"/>
        <v>0</v>
      </c>
      <c r="K281" s="401">
        <f t="shared" si="21"/>
        <v>0</v>
      </c>
      <c r="L281" s="173" t="s">
        <v>480</v>
      </c>
    </row>
    <row r="282" spans="1:12" ht="12.75">
      <c r="A282" s="351"/>
      <c r="B282" s="361" t="s">
        <v>1270</v>
      </c>
      <c r="C282" s="381">
        <v>274.45</v>
      </c>
      <c r="D282" s="381"/>
      <c r="E282" s="385">
        <f t="shared" si="25"/>
        <v>274.45</v>
      </c>
      <c r="F282" s="173"/>
      <c r="G282" s="173" t="s">
        <v>480</v>
      </c>
      <c r="H282" s="173"/>
      <c r="I282" s="211">
        <f t="shared" si="26"/>
        <v>0</v>
      </c>
      <c r="J282" s="211">
        <f t="shared" si="27"/>
        <v>0</v>
      </c>
      <c r="K282" s="401">
        <f t="shared" si="21"/>
        <v>0</v>
      </c>
      <c r="L282" s="173" t="s">
        <v>480</v>
      </c>
    </row>
    <row r="283" spans="1:12" ht="12.75">
      <c r="A283" s="351"/>
      <c r="B283" s="361" t="s">
        <v>208</v>
      </c>
      <c r="C283" s="381">
        <v>359.2</v>
      </c>
      <c r="D283" s="381"/>
      <c r="E283" s="385">
        <f t="shared" si="25"/>
        <v>359.2</v>
      </c>
      <c r="F283" s="173"/>
      <c r="G283" s="173" t="s">
        <v>480</v>
      </c>
      <c r="I283" s="211">
        <f t="shared" si="26"/>
        <v>0</v>
      </c>
      <c r="J283" s="211">
        <f t="shared" si="27"/>
        <v>0</v>
      </c>
      <c r="K283" s="401">
        <f t="shared" si="21"/>
        <v>0</v>
      </c>
      <c r="L283" s="173" t="s">
        <v>480</v>
      </c>
    </row>
    <row r="284" spans="1:12" ht="12.75">
      <c r="A284" s="351"/>
      <c r="B284" s="361" t="s">
        <v>209</v>
      </c>
      <c r="C284" s="381">
        <v>341.25</v>
      </c>
      <c r="D284" s="381"/>
      <c r="E284" s="385">
        <f t="shared" si="25"/>
        <v>341.25</v>
      </c>
      <c r="F284" s="173"/>
      <c r="G284" s="173" t="s">
        <v>480</v>
      </c>
      <c r="H284" s="173"/>
      <c r="I284" s="211">
        <f t="shared" si="26"/>
        <v>0</v>
      </c>
      <c r="J284" s="211">
        <f t="shared" si="27"/>
        <v>0</v>
      </c>
      <c r="K284" s="401">
        <f t="shared" si="21"/>
        <v>0</v>
      </c>
      <c r="L284" s="173" t="s">
        <v>480</v>
      </c>
    </row>
    <row r="285" spans="1:12" ht="12.75">
      <c r="A285" s="351"/>
      <c r="B285" s="361" t="s">
        <v>210</v>
      </c>
      <c r="C285" s="381">
        <v>0</v>
      </c>
      <c r="D285" s="381">
        <f>577.75-0.5</f>
        <v>577.25</v>
      </c>
      <c r="E285" s="385">
        <f t="shared" si="25"/>
        <v>577.25</v>
      </c>
      <c r="F285" s="173"/>
      <c r="G285" s="173" t="s">
        <v>480</v>
      </c>
      <c r="H285" s="173"/>
      <c r="I285" s="211">
        <f t="shared" si="26"/>
        <v>0</v>
      </c>
      <c r="J285" s="211">
        <f t="shared" si="27"/>
        <v>0</v>
      </c>
      <c r="K285" s="401">
        <f t="shared" si="21"/>
        <v>0</v>
      </c>
      <c r="L285" s="173" t="s">
        <v>480</v>
      </c>
    </row>
    <row r="286" spans="1:12" ht="12.75">
      <c r="A286" s="351"/>
      <c r="B286" s="361" t="s">
        <v>211</v>
      </c>
      <c r="C286" s="381">
        <v>338.1</v>
      </c>
      <c r="D286" s="381"/>
      <c r="E286" s="385">
        <f t="shared" si="25"/>
        <v>338.1</v>
      </c>
      <c r="F286" s="173"/>
      <c r="G286" s="173" t="s">
        <v>480</v>
      </c>
      <c r="H286" s="173"/>
      <c r="I286" s="211">
        <f t="shared" si="26"/>
        <v>0</v>
      </c>
      <c r="J286" s="211">
        <f t="shared" si="27"/>
        <v>0</v>
      </c>
      <c r="K286" s="401">
        <f t="shared" si="21"/>
        <v>0</v>
      </c>
      <c r="L286" s="173" t="s">
        <v>480</v>
      </c>
    </row>
    <row r="287" spans="1:12" ht="12.75">
      <c r="A287" s="351"/>
      <c r="B287" s="361" t="s">
        <v>212</v>
      </c>
      <c r="C287" s="381">
        <v>302.6</v>
      </c>
      <c r="D287" s="381"/>
      <c r="E287" s="385">
        <f t="shared" si="25"/>
        <v>302.6</v>
      </c>
      <c r="F287" s="173"/>
      <c r="G287" s="173" t="s">
        <v>480</v>
      </c>
      <c r="H287" s="173"/>
      <c r="I287" s="211">
        <f t="shared" si="26"/>
        <v>0</v>
      </c>
      <c r="J287" s="211">
        <f t="shared" si="27"/>
        <v>0</v>
      </c>
      <c r="K287" s="401">
        <f t="shared" si="21"/>
        <v>0</v>
      </c>
      <c r="L287" s="173" t="s">
        <v>480</v>
      </c>
    </row>
    <row r="288" spans="1:12" ht="12.75">
      <c r="A288" s="351"/>
      <c r="B288" s="361" t="s">
        <v>1072</v>
      </c>
      <c r="C288" s="381"/>
      <c r="D288" s="381">
        <v>697.56</v>
      </c>
      <c r="E288" s="385">
        <f t="shared" si="25"/>
        <v>697.56</v>
      </c>
      <c r="F288" s="173"/>
      <c r="G288" s="173" t="s">
        <v>480</v>
      </c>
      <c r="H288" s="173"/>
      <c r="I288" s="211">
        <f t="shared" si="26"/>
        <v>0</v>
      </c>
      <c r="J288" s="211">
        <f t="shared" si="27"/>
        <v>0</v>
      </c>
      <c r="K288" s="401">
        <f t="shared" si="21"/>
        <v>0</v>
      </c>
      <c r="L288" s="173" t="s">
        <v>480</v>
      </c>
    </row>
    <row r="289" spans="1:12" ht="12.75">
      <c r="A289" s="351"/>
      <c r="B289" s="361" t="s">
        <v>213</v>
      </c>
      <c r="C289" s="381">
        <v>75.45</v>
      </c>
      <c r="D289" s="381">
        <v>24</v>
      </c>
      <c r="E289" s="385">
        <f t="shared" si="25"/>
        <v>99.45</v>
      </c>
      <c r="F289" s="173"/>
      <c r="G289" s="173" t="s">
        <v>404</v>
      </c>
      <c r="H289" s="173"/>
      <c r="I289" s="211">
        <f t="shared" si="26"/>
        <v>0</v>
      </c>
      <c r="J289" s="211">
        <f t="shared" si="27"/>
        <v>0</v>
      </c>
      <c r="K289" s="401">
        <f t="shared" si="21"/>
        <v>0</v>
      </c>
      <c r="L289" s="173" t="s">
        <v>480</v>
      </c>
    </row>
    <row r="290" spans="1:12" ht="12.75">
      <c r="A290" s="351"/>
      <c r="B290" s="361" t="s">
        <v>1245</v>
      </c>
      <c r="C290" s="381">
        <v>139</v>
      </c>
      <c r="D290" s="381">
        <v>38.5</v>
      </c>
      <c r="E290" s="385">
        <f t="shared" si="25"/>
        <v>177.5</v>
      </c>
      <c r="F290" s="173"/>
      <c r="G290" s="173" t="s">
        <v>480</v>
      </c>
      <c r="H290" s="173"/>
      <c r="I290" s="211">
        <f t="shared" si="26"/>
        <v>0</v>
      </c>
      <c r="J290" s="211">
        <f t="shared" si="27"/>
        <v>0</v>
      </c>
      <c r="K290" s="401">
        <f t="shared" si="21"/>
        <v>0</v>
      </c>
      <c r="L290" s="173" t="s">
        <v>480</v>
      </c>
    </row>
    <row r="291" spans="1:12" ht="12.75">
      <c r="A291" s="351"/>
      <c r="B291" s="361" t="s">
        <v>1073</v>
      </c>
      <c r="C291" s="381"/>
      <c r="D291" s="381">
        <v>105.5</v>
      </c>
      <c r="E291" s="385">
        <f t="shared" si="25"/>
        <v>105.5</v>
      </c>
      <c r="F291" s="173"/>
      <c r="G291" s="173" t="s">
        <v>480</v>
      </c>
      <c r="H291" s="173"/>
      <c r="I291" s="211">
        <f t="shared" si="26"/>
        <v>0</v>
      </c>
      <c r="J291" s="211">
        <f t="shared" si="27"/>
        <v>0</v>
      </c>
      <c r="K291" s="401">
        <f t="shared" si="21"/>
        <v>0</v>
      </c>
      <c r="L291" s="173" t="s">
        <v>480</v>
      </c>
    </row>
    <row r="292" spans="1:12" ht="12.75">
      <c r="A292" s="351"/>
      <c r="B292" s="361" t="s">
        <v>214</v>
      </c>
      <c r="C292" s="381">
        <v>0</v>
      </c>
      <c r="D292" s="385">
        <v>28</v>
      </c>
      <c r="E292" s="385">
        <f t="shared" si="25"/>
        <v>28</v>
      </c>
      <c r="F292" s="173"/>
      <c r="G292" s="173" t="s">
        <v>404</v>
      </c>
      <c r="H292" s="173"/>
      <c r="I292" s="211">
        <f t="shared" si="26"/>
        <v>0</v>
      </c>
      <c r="J292" s="211">
        <f t="shared" si="27"/>
        <v>0</v>
      </c>
      <c r="K292" s="401">
        <f t="shared" si="21"/>
        <v>0</v>
      </c>
      <c r="L292" s="204" t="s">
        <v>480</v>
      </c>
    </row>
    <row r="293" spans="1:12" ht="12.75">
      <c r="A293" s="339"/>
      <c r="B293" s="361" t="s">
        <v>389</v>
      </c>
      <c r="C293" s="381">
        <f>SUM(C279:C292)</f>
        <v>2562.35</v>
      </c>
      <c r="D293" s="381">
        <f>SUM(D279:D292)</f>
        <v>2087.81</v>
      </c>
      <c r="E293" s="381">
        <f>SUM(E279:E292)</f>
        <v>4650.16</v>
      </c>
      <c r="F293" s="173"/>
      <c r="G293" s="173"/>
      <c r="H293" s="436"/>
      <c r="I293" s="437"/>
      <c r="J293" s="437"/>
      <c r="K293" s="438">
        <f>SUM(K279:K292)</f>
        <v>4522.71</v>
      </c>
      <c r="L293" s="436"/>
    </row>
    <row r="294" spans="1:11" ht="12.75">
      <c r="A294" s="339"/>
      <c r="B294" s="415"/>
      <c r="C294" s="342"/>
      <c r="D294" s="342"/>
      <c r="E294" s="342"/>
      <c r="F294" s="173"/>
      <c r="G294" s="173"/>
      <c r="H294" s="173"/>
      <c r="I294" s="211"/>
      <c r="J294" s="211"/>
      <c r="K294" s="401"/>
    </row>
    <row r="295" spans="1:11" ht="12.75">
      <c r="A295" s="339" t="s">
        <v>481</v>
      </c>
      <c r="B295" s="172"/>
      <c r="C295" s="342"/>
      <c r="D295" s="338"/>
      <c r="E295" s="338"/>
      <c r="F295" s="173"/>
      <c r="G295" s="173"/>
      <c r="H295" s="173"/>
      <c r="I295" s="211"/>
      <c r="J295" s="211"/>
      <c r="K295" s="401"/>
    </row>
    <row r="296" spans="1:12" ht="12.75">
      <c r="A296" s="351"/>
      <c r="B296" s="361" t="s">
        <v>215</v>
      </c>
      <c r="C296" s="381">
        <v>62.6</v>
      </c>
      <c r="D296" s="381">
        <v>40</v>
      </c>
      <c r="E296" s="385">
        <f>IF((C296+D296=0),"",C296+D296)</f>
        <v>102.6</v>
      </c>
      <c r="F296" s="173"/>
      <c r="G296" s="173" t="s">
        <v>482</v>
      </c>
      <c r="H296" s="173" t="s">
        <v>482</v>
      </c>
      <c r="I296" s="211">
        <f>SUMIF($G$9:$G$647,H296,$C$9:$C$647)</f>
        <v>62.6</v>
      </c>
      <c r="J296" s="211">
        <f>SUMIF($G$9:$G$647,H296,$D$9:$D$647)</f>
        <v>40</v>
      </c>
      <c r="K296" s="401">
        <f t="shared" si="21"/>
        <v>102.6</v>
      </c>
      <c r="L296" s="204" t="s">
        <v>482</v>
      </c>
    </row>
    <row r="297" spans="1:12" ht="12.75">
      <c r="A297" s="339"/>
      <c r="B297" s="361" t="s">
        <v>389</v>
      </c>
      <c r="C297" s="381">
        <f>SUM(C296:C296)</f>
        <v>62.6</v>
      </c>
      <c r="D297" s="381">
        <f>SUM(D296:D296)</f>
        <v>40</v>
      </c>
      <c r="E297" s="381">
        <f>SUM(E296:E296)</f>
        <v>102.6</v>
      </c>
      <c r="F297" s="173"/>
      <c r="G297" s="173"/>
      <c r="H297" s="436"/>
      <c r="I297" s="437"/>
      <c r="J297" s="437"/>
      <c r="K297" s="438">
        <f t="shared" si="21"/>
        <v>0</v>
      </c>
      <c r="L297" s="436"/>
    </row>
    <row r="298" spans="1:12" ht="12.75">
      <c r="A298" s="339"/>
      <c r="B298" s="172"/>
      <c r="C298" s="342"/>
      <c r="D298" s="342"/>
      <c r="E298" s="342"/>
      <c r="F298" s="173"/>
      <c r="G298" s="173"/>
      <c r="H298" s="173"/>
      <c r="I298" s="211"/>
      <c r="J298" s="211"/>
      <c r="K298" s="401"/>
      <c r="L298" s="173"/>
    </row>
    <row r="299" spans="1:12" ht="12.75">
      <c r="A299" s="339" t="s">
        <v>483</v>
      </c>
      <c r="B299" s="172"/>
      <c r="C299" s="342"/>
      <c r="D299" s="338"/>
      <c r="E299" s="338"/>
      <c r="F299" s="173"/>
      <c r="G299" s="173"/>
      <c r="H299" s="173"/>
      <c r="I299" s="211"/>
      <c r="J299" s="211"/>
      <c r="K299" s="401"/>
      <c r="L299" s="173"/>
    </row>
    <row r="300" spans="1:12" ht="12.75">
      <c r="A300" s="351"/>
      <c r="B300" s="361" t="s">
        <v>216</v>
      </c>
      <c r="C300" s="381">
        <v>193.65</v>
      </c>
      <c r="D300" s="381">
        <f>127.3-0.35</f>
        <v>126.95</v>
      </c>
      <c r="E300" s="385">
        <f>IF((C300+D300=0),"",C300+D300)</f>
        <v>320.6</v>
      </c>
      <c r="F300" s="173"/>
      <c r="G300" s="173" t="s">
        <v>484</v>
      </c>
      <c r="H300" s="173" t="s">
        <v>484</v>
      </c>
      <c r="I300" s="211">
        <f>SUMIF($G$9:$G$647,H300,$C$9:$C$647)</f>
        <v>193.65</v>
      </c>
      <c r="J300" s="211">
        <f>SUMIF($G$9:$G$647,H300,$D$9:$D$647)</f>
        <v>126.95</v>
      </c>
      <c r="K300" s="401">
        <f t="shared" si="21"/>
        <v>320.6</v>
      </c>
      <c r="L300" s="173" t="s">
        <v>485</v>
      </c>
    </row>
    <row r="301" spans="1:12" ht="12.75">
      <c r="A301" s="339"/>
      <c r="B301" s="361" t="s">
        <v>389</v>
      </c>
      <c r="C301" s="381">
        <f>SUM(C300)</f>
        <v>193.65</v>
      </c>
      <c r="D301" s="381">
        <f>SUM(D300)</f>
        <v>126.95</v>
      </c>
      <c r="E301" s="381">
        <f>SUM(E300)</f>
        <v>320.6</v>
      </c>
      <c r="F301" s="173"/>
      <c r="G301" s="173"/>
      <c r="H301" s="436"/>
      <c r="I301" s="437"/>
      <c r="J301" s="437"/>
      <c r="K301" s="438">
        <f t="shared" si="21"/>
        <v>0</v>
      </c>
      <c r="L301" s="436"/>
    </row>
    <row r="302" spans="1:12" ht="12.75">
      <c r="A302" s="339"/>
      <c r="B302" s="172"/>
      <c r="C302" s="342"/>
      <c r="D302" s="342"/>
      <c r="E302" s="342"/>
      <c r="F302" s="173"/>
      <c r="G302" s="173"/>
      <c r="H302" s="173"/>
      <c r="I302" s="211"/>
      <c r="J302" s="211"/>
      <c r="K302" s="401"/>
      <c r="L302" s="173"/>
    </row>
    <row r="303" spans="1:12" ht="12.75">
      <c r="A303" s="339" t="s">
        <v>486</v>
      </c>
      <c r="B303" s="172"/>
      <c r="C303" s="342"/>
      <c r="D303" s="338"/>
      <c r="E303" s="338"/>
      <c r="F303" s="173"/>
      <c r="G303" s="173"/>
      <c r="H303" s="173"/>
      <c r="I303" s="211"/>
      <c r="J303" s="211"/>
      <c r="K303" s="401"/>
      <c r="L303" s="173"/>
    </row>
    <row r="304" spans="1:12" ht="12.75">
      <c r="A304" s="351"/>
      <c r="B304" s="386" t="s">
        <v>1201</v>
      </c>
      <c r="C304" s="381">
        <v>109.24</v>
      </c>
      <c r="D304" s="381">
        <v>21.4</v>
      </c>
      <c r="E304" s="385">
        <f aca="true" t="shared" si="28" ref="E304:E345">IF((C304+D304=0),"",C304+D304)</f>
        <v>130.64</v>
      </c>
      <c r="F304" s="173"/>
      <c r="G304" s="173" t="s">
        <v>487</v>
      </c>
      <c r="H304" s="173" t="s">
        <v>489</v>
      </c>
      <c r="I304" s="211">
        <f aca="true" t="shared" si="29" ref="I304:I346">SUMIF($G$9:$G$647,H304,$C$9:$C$647)</f>
        <v>13</v>
      </c>
      <c r="J304" s="211">
        <f aca="true" t="shared" si="30" ref="J304:J346">SUMIF($G$9:$G$647,H304,$D$9:$D$647)</f>
        <v>2</v>
      </c>
      <c r="K304" s="401">
        <f t="shared" si="21"/>
        <v>15</v>
      </c>
      <c r="L304" s="173" t="s">
        <v>488</v>
      </c>
    </row>
    <row r="305" spans="1:12" ht="12.75">
      <c r="A305" s="351"/>
      <c r="B305" s="386" t="s">
        <v>1117</v>
      </c>
      <c r="C305" s="381">
        <v>13</v>
      </c>
      <c r="D305" s="381">
        <v>2</v>
      </c>
      <c r="E305" s="385">
        <f t="shared" si="28"/>
        <v>15</v>
      </c>
      <c r="F305" s="173"/>
      <c r="G305" s="173" t="s">
        <v>489</v>
      </c>
      <c r="H305" s="173" t="s">
        <v>503</v>
      </c>
      <c r="I305" s="211">
        <f t="shared" si="29"/>
        <v>53</v>
      </c>
      <c r="J305" s="211">
        <f t="shared" si="30"/>
        <v>44</v>
      </c>
      <c r="K305" s="401">
        <f t="shared" si="21"/>
        <v>97</v>
      </c>
      <c r="L305" s="173" t="s">
        <v>488</v>
      </c>
    </row>
    <row r="306" spans="1:12" ht="12.75">
      <c r="A306" s="351"/>
      <c r="B306" s="386" t="s">
        <v>217</v>
      </c>
      <c r="C306" s="381">
        <v>0</v>
      </c>
      <c r="D306" s="381">
        <v>188.85</v>
      </c>
      <c r="E306" s="385">
        <f t="shared" si="28"/>
        <v>188.85</v>
      </c>
      <c r="F306" s="173"/>
      <c r="G306" s="173" t="s">
        <v>487</v>
      </c>
      <c r="H306" s="173" t="s">
        <v>487</v>
      </c>
      <c r="I306" s="211">
        <f t="shared" si="29"/>
        <v>850.1399999999999</v>
      </c>
      <c r="J306" s="211">
        <f t="shared" si="30"/>
        <v>675.6399999999999</v>
      </c>
      <c r="K306" s="401">
        <f t="shared" si="21"/>
        <v>1525.7799999999997</v>
      </c>
      <c r="L306" s="173" t="s">
        <v>488</v>
      </c>
    </row>
    <row r="307" spans="1:12" ht="12.75">
      <c r="A307" s="351"/>
      <c r="B307" s="386" t="s">
        <v>1271</v>
      </c>
      <c r="C307" s="381">
        <v>0</v>
      </c>
      <c r="D307" s="381">
        <v>396.09</v>
      </c>
      <c r="E307" s="385">
        <f t="shared" si="28"/>
        <v>396.09</v>
      </c>
      <c r="F307" s="173"/>
      <c r="G307" s="173" t="s">
        <v>487</v>
      </c>
      <c r="H307" s="173" t="s">
        <v>490</v>
      </c>
      <c r="I307" s="211">
        <f t="shared" si="29"/>
        <v>11</v>
      </c>
      <c r="J307" s="211">
        <f t="shared" si="30"/>
        <v>6</v>
      </c>
      <c r="K307" s="401">
        <f t="shared" si="21"/>
        <v>17</v>
      </c>
      <c r="L307" s="173" t="s">
        <v>488</v>
      </c>
    </row>
    <row r="308" spans="1:12" ht="12.75">
      <c r="A308" s="351"/>
      <c r="B308" s="386" t="s">
        <v>218</v>
      </c>
      <c r="C308" s="381">
        <v>11</v>
      </c>
      <c r="D308" s="381">
        <v>6</v>
      </c>
      <c r="E308" s="385">
        <f t="shared" si="28"/>
        <v>17</v>
      </c>
      <c r="F308" s="173"/>
      <c r="G308" s="173" t="s">
        <v>490</v>
      </c>
      <c r="H308" s="173" t="s">
        <v>491</v>
      </c>
      <c r="I308" s="211">
        <f t="shared" si="29"/>
        <v>16</v>
      </c>
      <c r="J308" s="211">
        <f t="shared" si="30"/>
        <v>30.31</v>
      </c>
      <c r="K308" s="401">
        <f t="shared" si="21"/>
        <v>46.31</v>
      </c>
      <c r="L308" s="173" t="s">
        <v>488</v>
      </c>
    </row>
    <row r="309" spans="1:12" ht="12.75">
      <c r="A309" s="351"/>
      <c r="B309" s="386" t="s">
        <v>1176</v>
      </c>
      <c r="C309" s="381">
        <v>16</v>
      </c>
      <c r="D309" s="381">
        <v>30.31</v>
      </c>
      <c r="E309" s="385">
        <f t="shared" si="28"/>
        <v>46.31</v>
      </c>
      <c r="F309" s="173"/>
      <c r="G309" s="173" t="s">
        <v>491</v>
      </c>
      <c r="H309" s="173" t="s">
        <v>493</v>
      </c>
      <c r="I309" s="211">
        <f t="shared" si="29"/>
        <v>1005.55</v>
      </c>
      <c r="J309" s="211">
        <f t="shared" si="30"/>
        <v>790.37</v>
      </c>
      <c r="K309" s="401">
        <f t="shared" si="21"/>
        <v>1795.92</v>
      </c>
      <c r="L309" s="173" t="s">
        <v>488</v>
      </c>
    </row>
    <row r="310" spans="1:12" ht="12.75">
      <c r="A310" s="351"/>
      <c r="B310" s="386" t="s">
        <v>1190</v>
      </c>
      <c r="C310" s="381">
        <v>390.4</v>
      </c>
      <c r="D310" s="381">
        <v>0</v>
      </c>
      <c r="E310" s="385">
        <f t="shared" si="28"/>
        <v>390.4</v>
      </c>
      <c r="F310" s="173"/>
      <c r="G310" s="173" t="s">
        <v>492</v>
      </c>
      <c r="H310" s="173" t="s">
        <v>494</v>
      </c>
      <c r="I310" s="211">
        <f t="shared" si="29"/>
        <v>13.95</v>
      </c>
      <c r="J310" s="211">
        <f t="shared" si="30"/>
        <v>0</v>
      </c>
      <c r="K310" s="401">
        <f t="shared" si="21"/>
        <v>13.95</v>
      </c>
      <c r="L310" s="173" t="s">
        <v>488</v>
      </c>
    </row>
    <row r="311" spans="1:12" ht="12.75">
      <c r="A311" s="351"/>
      <c r="B311" s="386" t="s">
        <v>219</v>
      </c>
      <c r="C311" s="381">
        <v>0</v>
      </c>
      <c r="D311" s="381">
        <v>457.6</v>
      </c>
      <c r="E311" s="385">
        <f t="shared" si="28"/>
        <v>457.6</v>
      </c>
      <c r="F311" s="173"/>
      <c r="G311" s="173" t="s">
        <v>493</v>
      </c>
      <c r="H311" s="173" t="s">
        <v>495</v>
      </c>
      <c r="I311" s="211">
        <f t="shared" si="29"/>
        <v>43.25</v>
      </c>
      <c r="J311" s="211">
        <f t="shared" si="30"/>
        <v>33.95</v>
      </c>
      <c r="K311" s="401">
        <f t="shared" si="21"/>
        <v>77.2</v>
      </c>
      <c r="L311" s="173" t="s">
        <v>488</v>
      </c>
    </row>
    <row r="312" spans="1:12" ht="12.75">
      <c r="A312" s="351"/>
      <c r="B312" s="386" t="s">
        <v>220</v>
      </c>
      <c r="C312" s="381">
        <v>108.4</v>
      </c>
      <c r="D312" s="381">
        <f>238.02-0.15</f>
        <v>237.87</v>
      </c>
      <c r="E312" s="385">
        <f t="shared" si="28"/>
        <v>346.27</v>
      </c>
      <c r="F312" s="173"/>
      <c r="G312" s="173" t="s">
        <v>493</v>
      </c>
      <c r="H312" s="173" t="s">
        <v>496</v>
      </c>
      <c r="I312" s="211">
        <f t="shared" si="29"/>
        <v>412.8</v>
      </c>
      <c r="J312" s="211">
        <f t="shared" si="30"/>
        <v>298.84999999999997</v>
      </c>
      <c r="K312" s="401">
        <f t="shared" si="21"/>
        <v>711.65</v>
      </c>
      <c r="L312" s="173" t="s">
        <v>488</v>
      </c>
    </row>
    <row r="313" spans="1:12" ht="12.75">
      <c r="A313" s="351"/>
      <c r="B313" s="386" t="s">
        <v>1231</v>
      </c>
      <c r="C313" s="381">
        <v>123</v>
      </c>
      <c r="D313" s="381">
        <v>0</v>
      </c>
      <c r="E313" s="385">
        <f t="shared" si="28"/>
        <v>123</v>
      </c>
      <c r="F313" s="173"/>
      <c r="G313" s="173" t="s">
        <v>487</v>
      </c>
      <c r="H313" s="173" t="s">
        <v>497</v>
      </c>
      <c r="I313" s="211">
        <f t="shared" si="29"/>
        <v>34.85</v>
      </c>
      <c r="J313" s="211">
        <f t="shared" si="30"/>
        <v>43</v>
      </c>
      <c r="K313" s="401">
        <f t="shared" si="21"/>
        <v>77.85</v>
      </c>
      <c r="L313" s="173" t="s">
        <v>488</v>
      </c>
    </row>
    <row r="314" spans="1:12" ht="12.75">
      <c r="A314" s="351"/>
      <c r="B314" s="386" t="s">
        <v>221</v>
      </c>
      <c r="C314" s="381">
        <v>13.95</v>
      </c>
      <c r="D314" s="381">
        <v>0</v>
      </c>
      <c r="E314" s="385">
        <f t="shared" si="28"/>
        <v>13.95</v>
      </c>
      <c r="F314" s="173"/>
      <c r="G314" s="173" t="s">
        <v>494</v>
      </c>
      <c r="H314" s="173" t="s">
        <v>498</v>
      </c>
      <c r="I314" s="211">
        <f t="shared" si="29"/>
        <v>48.6</v>
      </c>
      <c r="J314" s="211">
        <f t="shared" si="30"/>
        <v>51.9</v>
      </c>
      <c r="K314" s="401">
        <f t="shared" si="21"/>
        <v>100.5</v>
      </c>
      <c r="L314" s="173" t="s">
        <v>488</v>
      </c>
    </row>
    <row r="315" spans="1:12" ht="12.75">
      <c r="A315" s="351"/>
      <c r="B315" s="386" t="s">
        <v>1193</v>
      </c>
      <c r="C315" s="381">
        <f>466.57-0.75</f>
        <v>465.82</v>
      </c>
      <c r="D315" s="381">
        <v>0</v>
      </c>
      <c r="E315" s="385">
        <f t="shared" si="28"/>
        <v>465.82</v>
      </c>
      <c r="F315" s="173"/>
      <c r="G315" s="173" t="s">
        <v>493</v>
      </c>
      <c r="H315" s="173" t="s">
        <v>499</v>
      </c>
      <c r="I315" s="211">
        <f t="shared" si="29"/>
        <v>20</v>
      </c>
      <c r="J315" s="211">
        <f t="shared" si="30"/>
        <v>13</v>
      </c>
      <c r="K315" s="401">
        <f t="shared" si="21"/>
        <v>33</v>
      </c>
      <c r="L315" s="173" t="s">
        <v>488</v>
      </c>
    </row>
    <row r="316" spans="1:12" ht="12.75">
      <c r="A316" s="351"/>
      <c r="B316" s="386" t="s">
        <v>222</v>
      </c>
      <c r="C316" s="381">
        <v>43.25</v>
      </c>
      <c r="D316" s="381">
        <v>33.95</v>
      </c>
      <c r="E316" s="385">
        <f t="shared" si="28"/>
        <v>77.2</v>
      </c>
      <c r="F316" s="173"/>
      <c r="G316" s="173" t="s">
        <v>495</v>
      </c>
      <c r="H316" s="173" t="s">
        <v>501</v>
      </c>
      <c r="I316" s="211">
        <f t="shared" si="29"/>
        <v>19.77</v>
      </c>
      <c r="J316" s="211">
        <f t="shared" si="30"/>
        <v>14.7</v>
      </c>
      <c r="K316" s="401">
        <f t="shared" si="21"/>
        <v>34.47</v>
      </c>
      <c r="L316" s="173" t="s">
        <v>488</v>
      </c>
    </row>
    <row r="317" spans="1:12" ht="12.75">
      <c r="A317" s="351"/>
      <c r="B317" s="386" t="s">
        <v>1118</v>
      </c>
      <c r="C317" s="381">
        <v>348.8</v>
      </c>
      <c r="D317" s="381">
        <v>0</v>
      </c>
      <c r="E317" s="385">
        <f t="shared" si="28"/>
        <v>348.8</v>
      </c>
      <c r="F317" s="173"/>
      <c r="G317" s="173" t="s">
        <v>496</v>
      </c>
      <c r="H317" s="173" t="s">
        <v>500</v>
      </c>
      <c r="I317" s="211">
        <f t="shared" si="29"/>
        <v>321.03</v>
      </c>
      <c r="J317" s="211">
        <f t="shared" si="30"/>
        <v>258.2</v>
      </c>
      <c r="K317" s="401">
        <f aca="true" t="shared" si="31" ref="K317:K378">SUM(I317:J317)</f>
        <v>579.23</v>
      </c>
      <c r="L317" s="173" t="s">
        <v>488</v>
      </c>
    </row>
    <row r="318" spans="1:12" ht="12.75">
      <c r="A318" s="351"/>
      <c r="B318" s="386" t="s">
        <v>1119</v>
      </c>
      <c r="C318" s="381">
        <v>64</v>
      </c>
      <c r="D318" s="381">
        <f>298.9-0.05</f>
        <v>298.84999999999997</v>
      </c>
      <c r="E318" s="385">
        <f t="shared" si="28"/>
        <v>362.84999999999997</v>
      </c>
      <c r="F318" s="173"/>
      <c r="G318" s="173" t="s">
        <v>496</v>
      </c>
      <c r="H318" s="173" t="s">
        <v>492</v>
      </c>
      <c r="I318" s="211">
        <f t="shared" si="29"/>
        <v>1582.31</v>
      </c>
      <c r="J318" s="211">
        <f t="shared" si="30"/>
        <v>1241.47</v>
      </c>
      <c r="K318" s="401">
        <f t="shared" si="31"/>
        <v>2823.7799999999997</v>
      </c>
      <c r="L318" s="173" t="s">
        <v>488</v>
      </c>
    </row>
    <row r="319" spans="1:12" ht="12.75">
      <c r="A319" s="351"/>
      <c r="B319" s="386" t="s">
        <v>1194</v>
      </c>
      <c r="C319" s="381">
        <v>34.85</v>
      </c>
      <c r="D319" s="381">
        <v>43</v>
      </c>
      <c r="E319" s="385">
        <f t="shared" si="28"/>
        <v>77.85</v>
      </c>
      <c r="F319" s="173"/>
      <c r="G319" s="173" t="s">
        <v>497</v>
      </c>
      <c r="H319" s="173" t="s">
        <v>502</v>
      </c>
      <c r="I319" s="211">
        <f t="shared" si="29"/>
        <v>20</v>
      </c>
      <c r="J319" s="211">
        <f t="shared" si="30"/>
        <v>8.25</v>
      </c>
      <c r="K319" s="401">
        <f t="shared" si="31"/>
        <v>28.25</v>
      </c>
      <c r="L319" s="173" t="s">
        <v>488</v>
      </c>
    </row>
    <row r="320" spans="1:12" ht="12.75">
      <c r="A320" s="351"/>
      <c r="B320" s="386" t="s">
        <v>223</v>
      </c>
      <c r="C320" s="381">
        <v>48.6</v>
      </c>
      <c r="D320" s="381">
        <v>51.9</v>
      </c>
      <c r="E320" s="385">
        <f t="shared" si="28"/>
        <v>100.5</v>
      </c>
      <c r="F320" s="173"/>
      <c r="G320" s="173" t="s">
        <v>498</v>
      </c>
      <c r="H320" s="416"/>
      <c r="I320" s="211">
        <f t="shared" si="29"/>
        <v>0</v>
      </c>
      <c r="J320" s="211">
        <f t="shared" si="30"/>
        <v>0</v>
      </c>
      <c r="K320" s="401">
        <f t="shared" si="31"/>
        <v>0</v>
      </c>
      <c r="L320" s="173" t="s">
        <v>488</v>
      </c>
    </row>
    <row r="321" spans="1:12" ht="12.75">
      <c r="A321" s="351"/>
      <c r="B321" s="386" t="s">
        <v>1232</v>
      </c>
      <c r="C321" s="381">
        <v>188.4</v>
      </c>
      <c r="D321" s="381">
        <v>0</v>
      </c>
      <c r="E321" s="385">
        <f t="shared" si="28"/>
        <v>188.4</v>
      </c>
      <c r="F321" s="173"/>
      <c r="G321" s="173" t="s">
        <v>487</v>
      </c>
      <c r="I321" s="211">
        <f t="shared" si="29"/>
        <v>0</v>
      </c>
      <c r="J321" s="211">
        <f t="shared" si="30"/>
        <v>0</v>
      </c>
      <c r="K321" s="401">
        <f t="shared" si="31"/>
        <v>0</v>
      </c>
      <c r="L321" s="173" t="s">
        <v>488</v>
      </c>
    </row>
    <row r="322" spans="1:12" ht="12.75">
      <c r="A322" s="351"/>
      <c r="B322" s="386" t="s">
        <v>224</v>
      </c>
      <c r="C322" s="381">
        <v>20</v>
      </c>
      <c r="D322" s="381">
        <v>13</v>
      </c>
      <c r="E322" s="385">
        <f t="shared" si="28"/>
        <v>33</v>
      </c>
      <c r="F322" s="173"/>
      <c r="G322" s="173" t="s">
        <v>499</v>
      </c>
      <c r="I322" s="211">
        <f t="shared" si="29"/>
        <v>0</v>
      </c>
      <c r="J322" s="211">
        <f t="shared" si="30"/>
        <v>0</v>
      </c>
      <c r="K322" s="401">
        <f t="shared" si="31"/>
        <v>0</v>
      </c>
      <c r="L322" s="173" t="s">
        <v>488</v>
      </c>
    </row>
    <row r="323" spans="1:12" ht="12.75">
      <c r="A323" s="351"/>
      <c r="B323" s="386" t="s">
        <v>1120</v>
      </c>
      <c r="C323" s="381">
        <v>51.25</v>
      </c>
      <c r="D323" s="381">
        <v>39.5</v>
      </c>
      <c r="E323" s="385">
        <f t="shared" si="28"/>
        <v>90.75</v>
      </c>
      <c r="F323" s="173"/>
      <c r="G323" s="173" t="s">
        <v>487</v>
      </c>
      <c r="I323" s="211">
        <f t="shared" si="29"/>
        <v>0</v>
      </c>
      <c r="J323" s="211">
        <f t="shared" si="30"/>
        <v>0</v>
      </c>
      <c r="K323" s="401">
        <f t="shared" si="31"/>
        <v>0</v>
      </c>
      <c r="L323" s="173" t="s">
        <v>488</v>
      </c>
    </row>
    <row r="324" spans="1:12" ht="12.75">
      <c r="A324" s="351"/>
      <c r="B324" s="386" t="s">
        <v>1196</v>
      </c>
      <c r="C324" s="381">
        <v>339.15</v>
      </c>
      <c r="D324" s="381">
        <v>0</v>
      </c>
      <c r="E324" s="385">
        <f t="shared" si="28"/>
        <v>339.15</v>
      </c>
      <c r="F324" s="173"/>
      <c r="G324" s="173" t="s">
        <v>492</v>
      </c>
      <c r="H324" s="173"/>
      <c r="I324" s="211">
        <f t="shared" si="29"/>
        <v>0</v>
      </c>
      <c r="J324" s="211">
        <f t="shared" si="30"/>
        <v>0</v>
      </c>
      <c r="K324" s="401">
        <f t="shared" si="31"/>
        <v>0</v>
      </c>
      <c r="L324" s="173" t="s">
        <v>488</v>
      </c>
    </row>
    <row r="325" spans="1:12" ht="12.75">
      <c r="A325" s="351"/>
      <c r="B325" s="386" t="s">
        <v>225</v>
      </c>
      <c r="C325" s="381">
        <f>278.84-0.3</f>
        <v>278.53999999999996</v>
      </c>
      <c r="D325" s="381">
        <v>0</v>
      </c>
      <c r="E325" s="385">
        <f t="shared" si="28"/>
        <v>278.53999999999996</v>
      </c>
      <c r="F325" s="173"/>
      <c r="G325" s="173" t="s">
        <v>500</v>
      </c>
      <c r="H325" s="173"/>
      <c r="I325" s="211">
        <f t="shared" si="29"/>
        <v>0</v>
      </c>
      <c r="J325" s="211">
        <f t="shared" si="30"/>
        <v>0</v>
      </c>
      <c r="K325" s="401">
        <f t="shared" si="31"/>
        <v>0</v>
      </c>
      <c r="L325" s="173" t="s">
        <v>488</v>
      </c>
    </row>
    <row r="326" spans="1:12" ht="12.75">
      <c r="A326" s="351"/>
      <c r="B326" s="386" t="s">
        <v>226</v>
      </c>
      <c r="C326" s="381">
        <v>0</v>
      </c>
      <c r="D326" s="381">
        <v>181.85</v>
      </c>
      <c r="E326" s="385">
        <f t="shared" si="28"/>
        <v>181.85</v>
      </c>
      <c r="F326" s="173"/>
      <c r="G326" s="173" t="s">
        <v>500</v>
      </c>
      <c r="H326" s="173"/>
      <c r="I326" s="211">
        <f t="shared" si="29"/>
        <v>0</v>
      </c>
      <c r="J326" s="211">
        <f t="shared" si="30"/>
        <v>0</v>
      </c>
      <c r="K326" s="401">
        <f t="shared" si="31"/>
        <v>0</v>
      </c>
      <c r="L326" s="173" t="s">
        <v>488</v>
      </c>
    </row>
    <row r="327" spans="1:12" ht="12.75">
      <c r="A327" s="351"/>
      <c r="B327" s="386" t="s">
        <v>227</v>
      </c>
      <c r="C327" s="381">
        <v>42.49</v>
      </c>
      <c r="D327" s="381">
        <f>76.4-0.05</f>
        <v>76.35000000000001</v>
      </c>
      <c r="E327" s="385">
        <f t="shared" si="28"/>
        <v>118.84</v>
      </c>
      <c r="F327" s="173"/>
      <c r="G327" s="173" t="s">
        <v>500</v>
      </c>
      <c r="H327" s="173"/>
      <c r="I327" s="211">
        <f t="shared" si="29"/>
        <v>0</v>
      </c>
      <c r="J327" s="211">
        <f t="shared" si="30"/>
        <v>0</v>
      </c>
      <c r="K327" s="401">
        <f t="shared" si="31"/>
        <v>0</v>
      </c>
      <c r="L327" s="173" t="s">
        <v>488</v>
      </c>
    </row>
    <row r="328" spans="1:12" ht="12.75">
      <c r="A328" s="351"/>
      <c r="B328" s="386" t="s">
        <v>1230</v>
      </c>
      <c r="C328" s="381">
        <v>0</v>
      </c>
      <c r="D328" s="381">
        <v>403.05</v>
      </c>
      <c r="E328" s="385">
        <f t="shared" si="28"/>
        <v>403.05</v>
      </c>
      <c r="F328" s="173"/>
      <c r="G328" s="173" t="s">
        <v>492</v>
      </c>
      <c r="H328" s="173"/>
      <c r="I328" s="211">
        <f t="shared" si="29"/>
        <v>0</v>
      </c>
      <c r="J328" s="211">
        <f t="shared" si="30"/>
        <v>0</v>
      </c>
      <c r="K328" s="401">
        <f t="shared" si="31"/>
        <v>0</v>
      </c>
      <c r="L328" s="173" t="s">
        <v>488</v>
      </c>
    </row>
    <row r="329" spans="1:12" ht="12.75">
      <c r="A329" s="351"/>
      <c r="B329" s="386" t="s">
        <v>228</v>
      </c>
      <c r="C329" s="381">
        <v>297.94</v>
      </c>
      <c r="D329" s="381">
        <v>0</v>
      </c>
      <c r="E329" s="385">
        <f t="shared" si="28"/>
        <v>297.94</v>
      </c>
      <c r="F329" s="173"/>
      <c r="G329" s="173" t="s">
        <v>492</v>
      </c>
      <c r="H329" s="173"/>
      <c r="I329" s="211">
        <f t="shared" si="29"/>
        <v>0</v>
      </c>
      <c r="J329" s="211">
        <f t="shared" si="30"/>
        <v>0</v>
      </c>
      <c r="K329" s="401">
        <f t="shared" si="31"/>
        <v>0</v>
      </c>
      <c r="L329" s="173" t="s">
        <v>488</v>
      </c>
    </row>
    <row r="330" spans="1:12" ht="12.75">
      <c r="A330" s="351"/>
      <c r="B330" s="386" t="s">
        <v>1272</v>
      </c>
      <c r="C330" s="381">
        <v>0</v>
      </c>
      <c r="D330" s="381">
        <v>560.1</v>
      </c>
      <c r="E330" s="385">
        <f t="shared" si="28"/>
        <v>560.1</v>
      </c>
      <c r="F330" s="173"/>
      <c r="G330" s="173" t="s">
        <v>492</v>
      </c>
      <c r="H330" s="173"/>
      <c r="I330" s="211">
        <f t="shared" si="29"/>
        <v>0</v>
      </c>
      <c r="J330" s="211">
        <f t="shared" si="30"/>
        <v>0</v>
      </c>
      <c r="K330" s="401">
        <f t="shared" si="31"/>
        <v>0</v>
      </c>
      <c r="L330" s="173" t="s">
        <v>488</v>
      </c>
    </row>
    <row r="331" spans="1:12" ht="12.75">
      <c r="A331" s="351"/>
      <c r="B331" s="386" t="s">
        <v>1273</v>
      </c>
      <c r="C331" s="381">
        <v>0</v>
      </c>
      <c r="D331" s="381">
        <f>195.52-0.05</f>
        <v>195.47</v>
      </c>
      <c r="E331" s="385">
        <f t="shared" si="28"/>
        <v>195.47</v>
      </c>
      <c r="F331" s="173"/>
      <c r="G331" s="173" t="s">
        <v>492</v>
      </c>
      <c r="H331" s="173"/>
      <c r="I331" s="211">
        <f t="shared" si="29"/>
        <v>0</v>
      </c>
      <c r="J331" s="211">
        <f t="shared" si="30"/>
        <v>0</v>
      </c>
      <c r="K331" s="401">
        <f t="shared" si="31"/>
        <v>0</v>
      </c>
      <c r="L331" s="173" t="s">
        <v>488</v>
      </c>
    </row>
    <row r="332" spans="1:12" ht="12.75">
      <c r="A332" s="351"/>
      <c r="B332" s="386" t="s">
        <v>1229</v>
      </c>
      <c r="C332" s="381">
        <v>210.8</v>
      </c>
      <c r="D332" s="381">
        <v>0</v>
      </c>
      <c r="E332" s="385">
        <f t="shared" si="28"/>
        <v>210.8</v>
      </c>
      <c r="F332" s="173"/>
      <c r="G332" s="173" t="s">
        <v>492</v>
      </c>
      <c r="H332" s="173"/>
      <c r="I332" s="211">
        <f t="shared" si="29"/>
        <v>0</v>
      </c>
      <c r="J332" s="211">
        <f t="shared" si="30"/>
        <v>0</v>
      </c>
      <c r="K332" s="401">
        <f t="shared" si="31"/>
        <v>0</v>
      </c>
      <c r="L332" s="173" t="s">
        <v>488</v>
      </c>
    </row>
    <row r="333" spans="1:12" ht="12.75">
      <c r="A333" s="351"/>
      <c r="B333" s="386" t="s">
        <v>1197</v>
      </c>
      <c r="C333" s="381">
        <v>19.77</v>
      </c>
      <c r="D333" s="381">
        <v>14.7</v>
      </c>
      <c r="E333" s="385">
        <f t="shared" si="28"/>
        <v>34.47</v>
      </c>
      <c r="F333" s="173"/>
      <c r="G333" s="173" t="s">
        <v>501</v>
      </c>
      <c r="H333" s="173"/>
      <c r="I333" s="211">
        <f t="shared" si="29"/>
        <v>0</v>
      </c>
      <c r="J333" s="211">
        <f t="shared" si="30"/>
        <v>0</v>
      </c>
      <c r="K333" s="401">
        <f t="shared" si="31"/>
        <v>0</v>
      </c>
      <c r="L333" s="173" t="s">
        <v>488</v>
      </c>
    </row>
    <row r="334" spans="1:12" ht="12.75">
      <c r="A334" s="351"/>
      <c r="B334" s="386" t="s">
        <v>1121</v>
      </c>
      <c r="C334" s="381">
        <v>20</v>
      </c>
      <c r="D334" s="381">
        <v>8.25</v>
      </c>
      <c r="E334" s="385">
        <f t="shared" si="28"/>
        <v>28.25</v>
      </c>
      <c r="F334" s="173"/>
      <c r="G334" s="173" t="s">
        <v>502</v>
      </c>
      <c r="H334" s="173"/>
      <c r="I334" s="211">
        <f t="shared" si="29"/>
        <v>0</v>
      </c>
      <c r="J334" s="211">
        <f t="shared" si="30"/>
        <v>0</v>
      </c>
      <c r="K334" s="401">
        <f t="shared" si="31"/>
        <v>0</v>
      </c>
      <c r="L334" s="173" t="s">
        <v>488</v>
      </c>
    </row>
    <row r="335" spans="1:12" ht="12.75">
      <c r="A335" s="351"/>
      <c r="B335" s="386" t="s">
        <v>1198</v>
      </c>
      <c r="C335" s="381">
        <v>177.02</v>
      </c>
      <c r="D335" s="381">
        <v>0</v>
      </c>
      <c r="E335" s="385">
        <f t="shared" si="28"/>
        <v>177.02</v>
      </c>
      <c r="F335" s="173"/>
      <c r="G335" s="173" t="s">
        <v>492</v>
      </c>
      <c r="H335" s="173"/>
      <c r="I335" s="211">
        <f t="shared" si="29"/>
        <v>0</v>
      </c>
      <c r="J335" s="211">
        <f t="shared" si="30"/>
        <v>0</v>
      </c>
      <c r="K335" s="401">
        <f t="shared" si="31"/>
        <v>0</v>
      </c>
      <c r="L335" s="173" t="s">
        <v>488</v>
      </c>
    </row>
    <row r="336" spans="1:12" ht="12.75">
      <c r="A336" s="351"/>
      <c r="B336" s="386" t="s">
        <v>1122</v>
      </c>
      <c r="C336" s="381">
        <v>53</v>
      </c>
      <c r="D336" s="381">
        <v>44</v>
      </c>
      <c r="E336" s="385">
        <f t="shared" si="28"/>
        <v>97</v>
      </c>
      <c r="F336" s="173"/>
      <c r="G336" s="173" t="s">
        <v>503</v>
      </c>
      <c r="H336" s="173"/>
      <c r="I336" s="211">
        <f t="shared" si="29"/>
        <v>0</v>
      </c>
      <c r="J336" s="211">
        <f t="shared" si="30"/>
        <v>0</v>
      </c>
      <c r="K336" s="401">
        <f t="shared" si="31"/>
        <v>0</v>
      </c>
      <c r="L336" s="173" t="s">
        <v>488</v>
      </c>
    </row>
    <row r="337" spans="1:12" ht="12.75">
      <c r="A337" s="351"/>
      <c r="B337" s="386" t="s">
        <v>230</v>
      </c>
      <c r="C337" s="381">
        <f>255.75-0.55</f>
        <v>255.2</v>
      </c>
      <c r="D337" s="381">
        <v>0</v>
      </c>
      <c r="E337" s="385">
        <f t="shared" si="28"/>
        <v>255.2</v>
      </c>
      <c r="F337" s="173"/>
      <c r="G337" s="173" t="s">
        <v>487</v>
      </c>
      <c r="H337" s="173"/>
      <c r="I337" s="211">
        <f t="shared" si="29"/>
        <v>0</v>
      </c>
      <c r="J337" s="211">
        <f t="shared" si="30"/>
        <v>0</v>
      </c>
      <c r="K337" s="401">
        <f t="shared" si="31"/>
        <v>0</v>
      </c>
      <c r="L337" s="173" t="s">
        <v>488</v>
      </c>
    </row>
    <row r="338" spans="1:12" ht="12.75">
      <c r="A338" s="351"/>
      <c r="B338" s="386" t="s">
        <v>231</v>
      </c>
      <c r="C338" s="381">
        <v>0</v>
      </c>
      <c r="D338" s="381">
        <v>29.8</v>
      </c>
      <c r="E338" s="385">
        <f t="shared" si="28"/>
        <v>29.8</v>
      </c>
      <c r="F338" s="173"/>
      <c r="G338" s="173" t="s">
        <v>487</v>
      </c>
      <c r="H338" s="173"/>
      <c r="I338" s="211">
        <f t="shared" si="29"/>
        <v>0</v>
      </c>
      <c r="J338" s="211">
        <f t="shared" si="30"/>
        <v>0</v>
      </c>
      <c r="K338" s="401">
        <f t="shared" si="31"/>
        <v>0</v>
      </c>
      <c r="L338" s="173" t="s">
        <v>488</v>
      </c>
    </row>
    <row r="339" spans="1:12" ht="12.75">
      <c r="A339" s="351"/>
      <c r="B339" s="386" t="s">
        <v>232</v>
      </c>
      <c r="C339" s="381">
        <v>6.53</v>
      </c>
      <c r="D339" s="381">
        <v>62.9</v>
      </c>
      <c r="E339" s="385">
        <f t="shared" si="28"/>
        <v>69.42999999999999</v>
      </c>
      <c r="F339" s="173"/>
      <c r="G339" s="173" t="s">
        <v>493</v>
      </c>
      <c r="H339" s="173"/>
      <c r="I339" s="211">
        <f t="shared" si="29"/>
        <v>0</v>
      </c>
      <c r="J339" s="211">
        <f t="shared" si="30"/>
        <v>0</v>
      </c>
      <c r="K339" s="401">
        <f t="shared" si="31"/>
        <v>0</v>
      </c>
      <c r="L339" s="173" t="s">
        <v>488</v>
      </c>
    </row>
    <row r="340" spans="1:12" ht="12.75">
      <c r="A340" s="351"/>
      <c r="B340" s="386" t="s">
        <v>1081</v>
      </c>
      <c r="C340" s="381">
        <v>0</v>
      </c>
      <c r="D340" s="381">
        <v>82.85</v>
      </c>
      <c r="E340" s="385">
        <f>IF((C340+D340=0),"",C340+D340)</f>
        <v>82.85</v>
      </c>
      <c r="F340" s="173"/>
      <c r="G340" s="173" t="s">
        <v>492</v>
      </c>
      <c r="H340" s="173"/>
      <c r="I340" s="211">
        <f t="shared" si="29"/>
        <v>0</v>
      </c>
      <c r="J340" s="211">
        <f t="shared" si="30"/>
        <v>0</v>
      </c>
      <c r="K340" s="401">
        <f t="shared" si="31"/>
        <v>0</v>
      </c>
      <c r="L340" s="173" t="s">
        <v>488</v>
      </c>
    </row>
    <row r="341" spans="1:12" ht="12.75">
      <c r="A341" s="351"/>
      <c r="B341" s="386" t="s">
        <v>1186</v>
      </c>
      <c r="C341" s="381">
        <v>165</v>
      </c>
      <c r="D341" s="381">
        <v>32</v>
      </c>
      <c r="E341" s="385">
        <f t="shared" si="28"/>
        <v>197</v>
      </c>
      <c r="F341" s="173"/>
      <c r="G341" s="173" t="s">
        <v>493</v>
      </c>
      <c r="H341" s="173"/>
      <c r="I341" s="211">
        <f t="shared" si="29"/>
        <v>0</v>
      </c>
      <c r="J341" s="211">
        <f t="shared" si="30"/>
        <v>0</v>
      </c>
      <c r="K341" s="401">
        <f t="shared" si="31"/>
        <v>0</v>
      </c>
      <c r="L341" s="173" t="s">
        <v>488</v>
      </c>
    </row>
    <row r="342" spans="1:12" ht="12.75">
      <c r="A342" s="351"/>
      <c r="B342" s="386" t="s">
        <v>233</v>
      </c>
      <c r="C342" s="381">
        <v>259.8</v>
      </c>
      <c r="D342" s="381">
        <v>0</v>
      </c>
      <c r="E342" s="385">
        <f t="shared" si="28"/>
        <v>259.8</v>
      </c>
      <c r="F342" s="173"/>
      <c r="G342" s="173" t="s">
        <v>493</v>
      </c>
      <c r="H342" s="173"/>
      <c r="I342" s="211">
        <f t="shared" si="29"/>
        <v>0</v>
      </c>
      <c r="J342" s="211">
        <f t="shared" si="30"/>
        <v>0</v>
      </c>
      <c r="K342" s="401">
        <f t="shared" si="31"/>
        <v>0</v>
      </c>
      <c r="L342" s="173" t="s">
        <v>488</v>
      </c>
    </row>
    <row r="343" spans="1:12" ht="12.75">
      <c r="A343" s="351"/>
      <c r="B343" s="386" t="s">
        <v>234</v>
      </c>
      <c r="C343" s="381">
        <v>123.05</v>
      </c>
      <c r="D343" s="381">
        <v>0</v>
      </c>
      <c r="E343" s="385">
        <f t="shared" si="28"/>
        <v>123.05</v>
      </c>
      <c r="F343" s="173"/>
      <c r="G343" s="173" t="s">
        <v>487</v>
      </c>
      <c r="H343" s="173"/>
      <c r="I343" s="211">
        <f t="shared" si="29"/>
        <v>0</v>
      </c>
      <c r="J343" s="211">
        <f t="shared" si="30"/>
        <v>0</v>
      </c>
      <c r="K343" s="401">
        <f t="shared" si="31"/>
        <v>0</v>
      </c>
      <c r="L343" s="173" t="s">
        <v>488</v>
      </c>
    </row>
    <row r="344" spans="1:12" ht="12.75">
      <c r="A344" s="351"/>
      <c r="B344" s="386" t="s">
        <v>235</v>
      </c>
      <c r="C344" s="381">
        <v>167</v>
      </c>
      <c r="D344" s="381">
        <v>0</v>
      </c>
      <c r="E344" s="385">
        <f t="shared" si="28"/>
        <v>167</v>
      </c>
      <c r="F344" s="173"/>
      <c r="G344" s="173" t="s">
        <v>492</v>
      </c>
      <c r="H344" s="173"/>
      <c r="I344" s="211">
        <f t="shared" si="29"/>
        <v>0</v>
      </c>
      <c r="J344" s="211">
        <f t="shared" si="30"/>
        <v>0</v>
      </c>
      <c r="K344" s="401">
        <f t="shared" si="31"/>
        <v>0</v>
      </c>
      <c r="L344" s="173" t="s">
        <v>488</v>
      </c>
    </row>
    <row r="345" spans="1:12" ht="12.75">
      <c r="A345" s="351"/>
      <c r="B345" s="386" t="s">
        <v>1228</v>
      </c>
      <c r="C345" s="381">
        <v>0</v>
      </c>
      <c r="D345" s="381">
        <v>0</v>
      </c>
      <c r="E345" s="385">
        <f t="shared" si="28"/>
      </c>
      <c r="F345" s="173"/>
      <c r="G345" s="173" t="s">
        <v>404</v>
      </c>
      <c r="H345" s="173"/>
      <c r="I345" s="211">
        <f t="shared" si="29"/>
        <v>0</v>
      </c>
      <c r="J345" s="211">
        <f t="shared" si="30"/>
        <v>0</v>
      </c>
      <c r="K345" s="401">
        <f t="shared" si="31"/>
        <v>0</v>
      </c>
      <c r="L345" s="173" t="s">
        <v>488</v>
      </c>
    </row>
    <row r="346" spans="1:11" ht="12.75">
      <c r="A346" s="351"/>
      <c r="B346" s="386" t="s">
        <v>1123</v>
      </c>
      <c r="C346" s="381">
        <v>0</v>
      </c>
      <c r="D346" s="385">
        <v>10</v>
      </c>
      <c r="E346" s="385">
        <f>IF((C346+D346=0),"",C346+D346)</f>
        <v>10</v>
      </c>
      <c r="F346" s="173"/>
      <c r="G346" s="173" t="s">
        <v>404</v>
      </c>
      <c r="H346" s="173"/>
      <c r="I346" s="211">
        <f t="shared" si="29"/>
        <v>0</v>
      </c>
      <c r="J346" s="211">
        <f t="shared" si="30"/>
        <v>0</v>
      </c>
      <c r="K346" s="401">
        <f t="shared" si="31"/>
        <v>0</v>
      </c>
    </row>
    <row r="347" spans="1:12" ht="12.75">
      <c r="A347" s="351"/>
      <c r="B347" s="396" t="s">
        <v>389</v>
      </c>
      <c r="C347" s="381">
        <f>SUM(C304:C346)</f>
        <v>4465.25</v>
      </c>
      <c r="D347" s="381">
        <f>SUM(D304:D346)</f>
        <v>3521.64</v>
      </c>
      <c r="E347" s="429">
        <f>SUM(E304:E346)</f>
        <v>7986.890000000002</v>
      </c>
      <c r="F347" s="173"/>
      <c r="G347" s="173"/>
      <c r="H347" s="436"/>
      <c r="I347" s="437"/>
      <c r="J347" s="437"/>
      <c r="K347" s="438">
        <f>SUM(K304:K346)</f>
        <v>7976.89</v>
      </c>
      <c r="L347" s="436"/>
    </row>
    <row r="348" spans="1:11" ht="12.75">
      <c r="A348" s="339"/>
      <c r="B348" s="172"/>
      <c r="C348" s="342"/>
      <c r="D348" s="342"/>
      <c r="E348" s="342"/>
      <c r="F348" s="173"/>
      <c r="G348" s="173"/>
      <c r="H348" s="173"/>
      <c r="I348" s="211"/>
      <c r="J348" s="211"/>
      <c r="K348" s="401"/>
    </row>
    <row r="349" spans="1:11" ht="12.75">
      <c r="A349" s="417" t="s">
        <v>504</v>
      </c>
      <c r="B349" s="418"/>
      <c r="C349" s="342"/>
      <c r="D349" s="338"/>
      <c r="E349" s="338"/>
      <c r="F349" s="173"/>
      <c r="G349" s="173"/>
      <c r="H349" s="173"/>
      <c r="I349" s="211"/>
      <c r="J349" s="211"/>
      <c r="K349" s="401"/>
    </row>
    <row r="350" spans="1:12" ht="12.75">
      <c r="A350" s="351"/>
      <c r="B350" s="361" t="s">
        <v>240</v>
      </c>
      <c r="C350" s="384">
        <v>273.15</v>
      </c>
      <c r="D350" s="384">
        <v>0</v>
      </c>
      <c r="E350" s="387">
        <f aca="true" t="shared" si="32" ref="E350:E357">IF((C350+D350=0),"",C350+D350)</f>
        <v>273.15</v>
      </c>
      <c r="F350" s="173"/>
      <c r="G350" s="173" t="s">
        <v>505</v>
      </c>
      <c r="H350" s="173" t="s">
        <v>505</v>
      </c>
      <c r="I350" s="211">
        <f aca="true" t="shared" si="33" ref="I350:I357">SUMIF($G$9:$G$647,H350,$C$9:$C$647)</f>
        <v>1205.8500000000001</v>
      </c>
      <c r="J350" s="211">
        <f aca="true" t="shared" si="34" ref="J350:J357">SUMIF($G$9:$G$647,H350,$D$9:$D$647)</f>
        <v>1021.3299999999999</v>
      </c>
      <c r="K350" s="401">
        <f>SUM(I350:J350)</f>
        <v>2227.1800000000003</v>
      </c>
      <c r="L350" s="173" t="s">
        <v>505</v>
      </c>
    </row>
    <row r="351" spans="1:12" ht="12.75">
      <c r="A351" s="351"/>
      <c r="B351" s="361" t="s">
        <v>236</v>
      </c>
      <c r="C351" s="384">
        <v>350.25</v>
      </c>
      <c r="D351" s="384"/>
      <c r="E351" s="387">
        <f>IF((C351+D351=0),"",C351+D351)</f>
        <v>350.25</v>
      </c>
      <c r="F351" s="173"/>
      <c r="G351" s="173" t="s">
        <v>505</v>
      </c>
      <c r="H351" s="173"/>
      <c r="I351" s="211">
        <f t="shared" si="33"/>
        <v>0</v>
      </c>
      <c r="J351" s="211">
        <f t="shared" si="34"/>
        <v>0</v>
      </c>
      <c r="K351" s="401">
        <f t="shared" si="31"/>
        <v>0</v>
      </c>
      <c r="L351" s="173" t="s">
        <v>505</v>
      </c>
    </row>
    <row r="352" spans="1:12" ht="12.75">
      <c r="A352" s="351"/>
      <c r="B352" s="361" t="s">
        <v>237</v>
      </c>
      <c r="C352" s="384"/>
      <c r="D352" s="384">
        <f>579.75-0.2</f>
        <v>579.55</v>
      </c>
      <c r="E352" s="387">
        <f t="shared" si="32"/>
        <v>579.55</v>
      </c>
      <c r="F352" s="173"/>
      <c r="G352" s="173" t="s">
        <v>505</v>
      </c>
      <c r="H352" s="173"/>
      <c r="I352" s="211">
        <f t="shared" si="33"/>
        <v>0</v>
      </c>
      <c r="J352" s="211">
        <f t="shared" si="34"/>
        <v>0</v>
      </c>
      <c r="K352" s="401">
        <f t="shared" si="31"/>
        <v>0</v>
      </c>
      <c r="L352" s="173" t="s">
        <v>505</v>
      </c>
    </row>
    <row r="353" spans="1:12" ht="12.75">
      <c r="A353" s="351"/>
      <c r="B353" s="361" t="s">
        <v>238</v>
      </c>
      <c r="C353" s="384">
        <f>278.95-0.05</f>
        <v>278.9</v>
      </c>
      <c r="D353" s="384">
        <v>0</v>
      </c>
      <c r="E353" s="387">
        <f t="shared" si="32"/>
        <v>278.9</v>
      </c>
      <c r="F353" s="173"/>
      <c r="G353" s="173" t="s">
        <v>505</v>
      </c>
      <c r="H353" s="173"/>
      <c r="I353" s="211">
        <f t="shared" si="33"/>
        <v>0</v>
      </c>
      <c r="J353" s="211">
        <f t="shared" si="34"/>
        <v>0</v>
      </c>
      <c r="K353" s="401">
        <f t="shared" si="31"/>
        <v>0</v>
      </c>
      <c r="L353" s="173" t="s">
        <v>505</v>
      </c>
    </row>
    <row r="354" spans="1:12" ht="12.75">
      <c r="A354" s="351"/>
      <c r="B354" s="361" t="s">
        <v>239</v>
      </c>
      <c r="C354" s="384"/>
      <c r="D354" s="384">
        <v>287.83</v>
      </c>
      <c r="E354" s="387">
        <f t="shared" si="32"/>
        <v>287.83</v>
      </c>
      <c r="F354" s="173"/>
      <c r="G354" s="173" t="s">
        <v>505</v>
      </c>
      <c r="I354" s="211">
        <f t="shared" si="33"/>
        <v>0</v>
      </c>
      <c r="J354" s="211">
        <f t="shared" si="34"/>
        <v>0</v>
      </c>
      <c r="K354" s="401">
        <f>SUM(I354:J354)</f>
        <v>0</v>
      </c>
      <c r="L354" s="173" t="s">
        <v>505</v>
      </c>
    </row>
    <row r="355" spans="1:12" ht="12.75">
      <c r="A355" s="351"/>
      <c r="B355" s="361" t="s">
        <v>241</v>
      </c>
      <c r="C355" s="384">
        <v>0</v>
      </c>
      <c r="D355" s="384">
        <f>107.95-0.45</f>
        <v>107.5</v>
      </c>
      <c r="E355" s="387">
        <f t="shared" si="32"/>
        <v>107.5</v>
      </c>
      <c r="F355" s="173"/>
      <c r="G355" s="173" t="s">
        <v>505</v>
      </c>
      <c r="H355" s="173"/>
      <c r="I355" s="211">
        <f t="shared" si="33"/>
        <v>0</v>
      </c>
      <c r="J355" s="211">
        <f t="shared" si="34"/>
        <v>0</v>
      </c>
      <c r="K355" s="401">
        <f t="shared" si="31"/>
        <v>0</v>
      </c>
      <c r="L355" s="173" t="s">
        <v>505</v>
      </c>
    </row>
    <row r="356" spans="1:12" ht="12.75">
      <c r="A356" s="351"/>
      <c r="B356" s="361" t="s">
        <v>242</v>
      </c>
      <c r="C356" s="384">
        <v>162.65</v>
      </c>
      <c r="D356" s="384">
        <v>0</v>
      </c>
      <c r="E356" s="387">
        <f>IF((C356+D356=0),"",C356+D356)</f>
        <v>162.65</v>
      </c>
      <c r="F356" s="173"/>
      <c r="G356" s="173" t="s">
        <v>505</v>
      </c>
      <c r="H356" s="173"/>
      <c r="I356" s="211">
        <f t="shared" si="33"/>
        <v>0</v>
      </c>
      <c r="J356" s="211">
        <f t="shared" si="34"/>
        <v>0</v>
      </c>
      <c r="K356" s="401">
        <f t="shared" si="31"/>
        <v>0</v>
      </c>
      <c r="L356" s="173" t="s">
        <v>505</v>
      </c>
    </row>
    <row r="357" spans="1:12" ht="12.75">
      <c r="A357" s="351"/>
      <c r="B357" s="361" t="s">
        <v>243</v>
      </c>
      <c r="C357" s="384">
        <v>140.9</v>
      </c>
      <c r="D357" s="384">
        <v>46.45</v>
      </c>
      <c r="E357" s="387">
        <f t="shared" si="32"/>
        <v>187.35000000000002</v>
      </c>
      <c r="F357" s="173"/>
      <c r="G357" s="173" t="s">
        <v>505</v>
      </c>
      <c r="H357" s="173"/>
      <c r="I357" s="211">
        <f t="shared" si="33"/>
        <v>0</v>
      </c>
      <c r="J357" s="211">
        <f t="shared" si="34"/>
        <v>0</v>
      </c>
      <c r="K357" s="401">
        <f t="shared" si="31"/>
        <v>0</v>
      </c>
      <c r="L357" s="173" t="s">
        <v>505</v>
      </c>
    </row>
    <row r="358" spans="1:12" ht="12.75">
      <c r="A358" s="339"/>
      <c r="B358" s="361" t="s">
        <v>389</v>
      </c>
      <c r="C358" s="384">
        <f>SUM(C350:C357)</f>
        <v>1205.8500000000001</v>
      </c>
      <c r="D358" s="384">
        <f>SUM(D350:D357)</f>
        <v>1021.3299999999999</v>
      </c>
      <c r="E358" s="384">
        <f>SUM(E350:E357)</f>
        <v>2227.18</v>
      </c>
      <c r="F358" s="173"/>
      <c r="G358" s="173"/>
      <c r="H358" s="436"/>
      <c r="I358" s="437"/>
      <c r="J358" s="437"/>
      <c r="K358" s="438">
        <f>SUM(I358:J358)</f>
        <v>0</v>
      </c>
      <c r="L358" s="436"/>
    </row>
    <row r="359" spans="1:11" ht="12.75">
      <c r="A359" s="339"/>
      <c r="B359" s="172"/>
      <c r="C359" s="342"/>
      <c r="D359" s="342"/>
      <c r="E359" s="342"/>
      <c r="F359" s="173"/>
      <c r="G359" s="173"/>
      <c r="H359" s="173"/>
      <c r="I359" s="211"/>
      <c r="J359" s="211"/>
      <c r="K359" s="401"/>
    </row>
    <row r="360" spans="1:11" ht="12.75">
      <c r="A360" s="339" t="s">
        <v>506</v>
      </c>
      <c r="B360" s="172"/>
      <c r="C360" s="342"/>
      <c r="D360" s="338"/>
      <c r="E360" s="338"/>
      <c r="F360" s="173"/>
      <c r="G360" s="173"/>
      <c r="H360" s="173"/>
      <c r="I360" s="211"/>
      <c r="J360" s="211"/>
      <c r="K360" s="401"/>
    </row>
    <row r="361" spans="1:12" ht="12.75">
      <c r="A361" s="351"/>
      <c r="B361" s="388" t="s">
        <v>244</v>
      </c>
      <c r="C361" s="381">
        <v>67.75</v>
      </c>
      <c r="D361" s="381">
        <v>57.75</v>
      </c>
      <c r="E361" s="385">
        <f>IF((C361+D361=0),"",C361+D361)</f>
        <v>125.5</v>
      </c>
      <c r="F361" s="173"/>
      <c r="G361" s="173" t="s">
        <v>507</v>
      </c>
      <c r="H361" s="173" t="s">
        <v>507</v>
      </c>
      <c r="I361" s="211">
        <f>SUMIF($G$9:$G$647,H361,$C$9:$C$647)</f>
        <v>67.75</v>
      </c>
      <c r="J361" s="211">
        <f>SUMIF($G$9:$G$647,H361,$D$9:$D$647)</f>
        <v>57.75</v>
      </c>
      <c r="K361" s="401">
        <f t="shared" si="31"/>
        <v>125.5</v>
      </c>
      <c r="L361" s="173" t="s">
        <v>507</v>
      </c>
    </row>
    <row r="362" spans="1:12" ht="12.75">
      <c r="A362" s="339"/>
      <c r="B362" s="388" t="s">
        <v>389</v>
      </c>
      <c r="C362" s="381">
        <f>SUM(C361)</f>
        <v>67.75</v>
      </c>
      <c r="D362" s="381">
        <f>SUM(D361)</f>
        <v>57.75</v>
      </c>
      <c r="E362" s="381">
        <f>SUM(E361)</f>
        <v>125.5</v>
      </c>
      <c r="F362" s="173"/>
      <c r="G362" s="173"/>
      <c r="H362" s="436"/>
      <c r="I362" s="437"/>
      <c r="J362" s="437"/>
      <c r="K362" s="438">
        <f>SUM(I362:J362)</f>
        <v>0</v>
      </c>
      <c r="L362" s="436"/>
    </row>
    <row r="363" spans="1:12" ht="12.75">
      <c r="A363" s="339"/>
      <c r="B363" s="343"/>
      <c r="C363" s="342"/>
      <c r="D363" s="342"/>
      <c r="E363" s="342"/>
      <c r="F363" s="173"/>
      <c r="G363" s="173"/>
      <c r="H363" s="173"/>
      <c r="I363" s="211"/>
      <c r="J363" s="211"/>
      <c r="K363" s="401"/>
      <c r="L363" s="173"/>
    </row>
    <row r="364" spans="1:12" ht="12.75">
      <c r="A364" s="339" t="s">
        <v>508</v>
      </c>
      <c r="B364" s="172"/>
      <c r="C364" s="342"/>
      <c r="D364" s="338"/>
      <c r="E364" s="338"/>
      <c r="F364" s="173"/>
      <c r="G364" s="173"/>
      <c r="H364" s="173"/>
      <c r="I364" s="211"/>
      <c r="J364" s="211"/>
      <c r="K364" s="401"/>
      <c r="L364" s="173"/>
    </row>
    <row r="365" spans="1:12" ht="12.75">
      <c r="A365" s="351"/>
      <c r="B365" s="388" t="s">
        <v>245</v>
      </c>
      <c r="C365" s="384">
        <v>13</v>
      </c>
      <c r="D365" s="384">
        <v>6</v>
      </c>
      <c r="E365" s="387">
        <f aca="true" t="shared" si="35" ref="E365:E378">IF((C365+D365=0),"",C365+D365)</f>
        <v>19</v>
      </c>
      <c r="F365" s="173"/>
      <c r="G365" s="173" t="s">
        <v>509</v>
      </c>
      <c r="H365" s="173" t="s">
        <v>509</v>
      </c>
      <c r="I365" s="211">
        <f aca="true" t="shared" si="36" ref="I365:I378">SUMIF($G$9:$G$647,H365,$C$9:$C$647)</f>
        <v>13</v>
      </c>
      <c r="J365" s="211">
        <f aca="true" t="shared" si="37" ref="J365:J378">SUMIF($G$9:$G$647,H365,$D$9:$D$647)</f>
        <v>6</v>
      </c>
      <c r="K365" s="401">
        <f t="shared" si="31"/>
        <v>19</v>
      </c>
      <c r="L365" s="173" t="s">
        <v>510</v>
      </c>
    </row>
    <row r="366" spans="1:12" ht="12.75">
      <c r="A366" s="351"/>
      <c r="B366" s="388" t="s">
        <v>246</v>
      </c>
      <c r="C366" s="384">
        <v>16</v>
      </c>
      <c r="D366" s="384">
        <v>2.2</v>
      </c>
      <c r="E366" s="387">
        <f>IF((C366+D366=0),"",C366+D366)</f>
        <v>18.2</v>
      </c>
      <c r="F366" s="173"/>
      <c r="G366" s="173" t="s">
        <v>511</v>
      </c>
      <c r="H366" s="173" t="s">
        <v>511</v>
      </c>
      <c r="I366" s="211">
        <f t="shared" si="36"/>
        <v>16</v>
      </c>
      <c r="J366" s="211">
        <f t="shared" si="37"/>
        <v>2.2</v>
      </c>
      <c r="K366" s="401">
        <f t="shared" si="31"/>
        <v>18.2</v>
      </c>
      <c r="L366" s="173" t="s">
        <v>510</v>
      </c>
    </row>
    <row r="367" spans="1:12" ht="12.75">
      <c r="A367" s="351"/>
      <c r="B367" s="388" t="s">
        <v>1274</v>
      </c>
      <c r="C367" s="384"/>
      <c r="D367" s="384"/>
      <c r="E367" s="387">
        <f>IF((C367+D367=0),"",C367+D367)</f>
      </c>
      <c r="F367" s="173"/>
      <c r="G367" s="173" t="s">
        <v>1243</v>
      </c>
      <c r="H367" s="173" t="s">
        <v>1243</v>
      </c>
      <c r="I367" s="211">
        <f t="shared" si="36"/>
        <v>0</v>
      </c>
      <c r="J367" s="211">
        <f t="shared" si="37"/>
        <v>0</v>
      </c>
      <c r="K367" s="401">
        <f t="shared" si="31"/>
        <v>0</v>
      </c>
      <c r="L367" s="173" t="s">
        <v>510</v>
      </c>
    </row>
    <row r="368" spans="1:12" ht="12.75">
      <c r="A368" s="351"/>
      <c r="B368" s="388" t="s">
        <v>1188</v>
      </c>
      <c r="C368" s="384">
        <v>312.98</v>
      </c>
      <c r="D368" s="384">
        <v>0</v>
      </c>
      <c r="E368" s="387">
        <f>IF((C368+D368=0),"",C368+D368)</f>
        <v>312.98</v>
      </c>
      <c r="F368" s="173"/>
      <c r="G368" s="173" t="s">
        <v>512</v>
      </c>
      <c r="H368" s="173" t="s">
        <v>513</v>
      </c>
      <c r="I368" s="211">
        <f t="shared" si="36"/>
        <v>3</v>
      </c>
      <c r="J368" s="211">
        <f t="shared" si="37"/>
        <v>6</v>
      </c>
      <c r="K368" s="401">
        <f t="shared" si="31"/>
        <v>9</v>
      </c>
      <c r="L368" s="173" t="s">
        <v>510</v>
      </c>
    </row>
    <row r="369" spans="1:12" ht="12.75">
      <c r="A369" s="351"/>
      <c r="B369" s="388" t="s">
        <v>247</v>
      </c>
      <c r="C369" s="384">
        <v>3</v>
      </c>
      <c r="D369" s="384">
        <v>6</v>
      </c>
      <c r="E369" s="387">
        <f t="shared" si="35"/>
        <v>9</v>
      </c>
      <c r="F369" s="173"/>
      <c r="G369" s="173" t="s">
        <v>513</v>
      </c>
      <c r="H369" s="173" t="s">
        <v>512</v>
      </c>
      <c r="I369" s="211">
        <f t="shared" si="36"/>
        <v>1139.88</v>
      </c>
      <c r="J369" s="211">
        <f t="shared" si="37"/>
        <v>954.55</v>
      </c>
      <c r="K369" s="401">
        <f t="shared" si="31"/>
        <v>2094.4300000000003</v>
      </c>
      <c r="L369" s="173" t="s">
        <v>510</v>
      </c>
    </row>
    <row r="370" spans="1:12" ht="12.75">
      <c r="A370" s="351"/>
      <c r="B370" s="388" t="s">
        <v>248</v>
      </c>
      <c r="C370" s="384">
        <v>0</v>
      </c>
      <c r="D370" s="384">
        <f>656.05-1.75</f>
        <v>654.3</v>
      </c>
      <c r="E370" s="387">
        <f t="shared" si="35"/>
        <v>654.3</v>
      </c>
      <c r="F370" s="173"/>
      <c r="G370" s="173" t="s">
        <v>512</v>
      </c>
      <c r="H370" s="173" t="s">
        <v>515</v>
      </c>
      <c r="I370" s="211">
        <f t="shared" si="36"/>
        <v>5</v>
      </c>
      <c r="J370" s="211">
        <f t="shared" si="37"/>
        <v>8.75</v>
      </c>
      <c r="K370" s="401">
        <f t="shared" si="31"/>
        <v>13.75</v>
      </c>
      <c r="L370" s="173" t="s">
        <v>510</v>
      </c>
    </row>
    <row r="371" spans="1:12" ht="12.75">
      <c r="A371" s="351"/>
      <c r="B371" s="388" t="s">
        <v>249</v>
      </c>
      <c r="C371" s="384">
        <v>153.5</v>
      </c>
      <c r="D371" s="384">
        <f>300.5-0.25</f>
        <v>300.25</v>
      </c>
      <c r="E371" s="387">
        <f t="shared" si="35"/>
        <v>453.75</v>
      </c>
      <c r="F371" s="173"/>
      <c r="G371" s="173" t="s">
        <v>512</v>
      </c>
      <c r="H371" s="173" t="s">
        <v>514</v>
      </c>
      <c r="I371" s="211">
        <f t="shared" si="36"/>
        <v>22.5</v>
      </c>
      <c r="J371" s="211">
        <f t="shared" si="37"/>
        <v>5</v>
      </c>
      <c r="K371" s="401">
        <f t="shared" si="31"/>
        <v>27.5</v>
      </c>
      <c r="L371" s="173" t="s">
        <v>510</v>
      </c>
    </row>
    <row r="372" spans="1:12" ht="12.75">
      <c r="A372" s="351"/>
      <c r="B372" s="388" t="s">
        <v>250</v>
      </c>
      <c r="C372" s="384">
        <v>5</v>
      </c>
      <c r="D372" s="384">
        <v>8.75</v>
      </c>
      <c r="E372" s="387">
        <f t="shared" si="35"/>
        <v>13.75</v>
      </c>
      <c r="F372" s="173"/>
      <c r="G372" s="173" t="s">
        <v>515</v>
      </c>
      <c r="H372" s="173" t="s">
        <v>516</v>
      </c>
      <c r="I372" s="211">
        <f t="shared" si="36"/>
        <v>9</v>
      </c>
      <c r="J372" s="211">
        <f t="shared" si="37"/>
        <v>11</v>
      </c>
      <c r="K372" s="401">
        <f t="shared" si="31"/>
        <v>20</v>
      </c>
      <c r="L372" s="173" t="s">
        <v>510</v>
      </c>
    </row>
    <row r="373" spans="1:12" ht="12.75">
      <c r="A373" s="351"/>
      <c r="B373" s="388" t="s">
        <v>1191</v>
      </c>
      <c r="C373" s="384">
        <v>226.75</v>
      </c>
      <c r="D373" s="384">
        <v>0</v>
      </c>
      <c r="E373" s="387">
        <f t="shared" si="35"/>
        <v>226.75</v>
      </c>
      <c r="F373" s="173"/>
      <c r="G373" s="173" t="s">
        <v>512</v>
      </c>
      <c r="H373" s="173" t="s">
        <v>517</v>
      </c>
      <c r="I373" s="211">
        <f t="shared" si="36"/>
        <v>4.25</v>
      </c>
      <c r="J373" s="211">
        <f t="shared" si="37"/>
        <v>2</v>
      </c>
      <c r="K373" s="401">
        <f t="shared" si="31"/>
        <v>6.25</v>
      </c>
      <c r="L373" s="173" t="s">
        <v>510</v>
      </c>
    </row>
    <row r="374" spans="1:12" ht="12.75">
      <c r="A374" s="351"/>
      <c r="B374" s="388" t="s">
        <v>251</v>
      </c>
      <c r="C374" s="384">
        <v>213.25</v>
      </c>
      <c r="D374" s="384">
        <v>0</v>
      </c>
      <c r="E374" s="387">
        <f t="shared" si="35"/>
        <v>213.25</v>
      </c>
      <c r="F374" s="173"/>
      <c r="G374" s="173" t="s">
        <v>512</v>
      </c>
      <c r="I374" s="211">
        <f t="shared" si="36"/>
        <v>0</v>
      </c>
      <c r="J374" s="211">
        <f t="shared" si="37"/>
        <v>0</v>
      </c>
      <c r="K374" s="401">
        <f t="shared" si="31"/>
        <v>0</v>
      </c>
      <c r="L374" s="173" t="s">
        <v>510</v>
      </c>
    </row>
    <row r="375" spans="1:12" ht="12.75">
      <c r="A375" s="351"/>
      <c r="B375" s="388" t="s">
        <v>252</v>
      </c>
      <c r="C375" s="384">
        <v>22.5</v>
      </c>
      <c r="D375" s="384">
        <v>5</v>
      </c>
      <c r="E375" s="387">
        <f t="shared" si="35"/>
        <v>27.5</v>
      </c>
      <c r="F375" s="173"/>
      <c r="G375" s="173" t="s">
        <v>514</v>
      </c>
      <c r="I375" s="211">
        <f t="shared" si="36"/>
        <v>0</v>
      </c>
      <c r="J375" s="211">
        <f t="shared" si="37"/>
        <v>0</v>
      </c>
      <c r="K375" s="401">
        <f t="shared" si="31"/>
        <v>0</v>
      </c>
      <c r="L375" s="173" t="s">
        <v>510</v>
      </c>
    </row>
    <row r="376" spans="1:12" ht="12.75">
      <c r="A376" s="351"/>
      <c r="B376" s="388" t="s">
        <v>253</v>
      </c>
      <c r="C376" s="384">
        <v>9</v>
      </c>
      <c r="D376" s="384">
        <v>11</v>
      </c>
      <c r="E376" s="387">
        <f t="shared" si="35"/>
        <v>20</v>
      </c>
      <c r="F376" s="173"/>
      <c r="G376" s="173" t="s">
        <v>516</v>
      </c>
      <c r="I376" s="211">
        <f t="shared" si="36"/>
        <v>0</v>
      </c>
      <c r="J376" s="211">
        <f t="shared" si="37"/>
        <v>0</v>
      </c>
      <c r="K376" s="401">
        <f t="shared" si="31"/>
        <v>0</v>
      </c>
      <c r="L376" s="173" t="s">
        <v>510</v>
      </c>
    </row>
    <row r="377" spans="1:12" ht="12.75">
      <c r="A377" s="351"/>
      <c r="B377" s="388" t="s">
        <v>1195</v>
      </c>
      <c r="C377" s="384">
        <v>233.4</v>
      </c>
      <c r="D377" s="384">
        <v>0</v>
      </c>
      <c r="E377" s="387">
        <f t="shared" si="35"/>
        <v>233.4</v>
      </c>
      <c r="F377" s="173"/>
      <c r="G377" s="173" t="s">
        <v>512</v>
      </c>
      <c r="I377" s="211">
        <f t="shared" si="36"/>
        <v>0</v>
      </c>
      <c r="J377" s="211">
        <f t="shared" si="37"/>
        <v>0</v>
      </c>
      <c r="K377" s="401">
        <f t="shared" si="31"/>
        <v>0</v>
      </c>
      <c r="L377" s="173" t="s">
        <v>510</v>
      </c>
    </row>
    <row r="378" spans="1:12" ht="12.75">
      <c r="A378" s="351"/>
      <c r="B378" s="388" t="s">
        <v>254</v>
      </c>
      <c r="C378" s="384">
        <v>4.25</v>
      </c>
      <c r="D378" s="384">
        <v>2</v>
      </c>
      <c r="E378" s="387">
        <f t="shared" si="35"/>
        <v>6.25</v>
      </c>
      <c r="F378" s="173"/>
      <c r="G378" s="173" t="s">
        <v>517</v>
      </c>
      <c r="H378" s="173"/>
      <c r="I378" s="211">
        <f t="shared" si="36"/>
        <v>0</v>
      </c>
      <c r="J378" s="211">
        <f t="shared" si="37"/>
        <v>0</v>
      </c>
      <c r="K378" s="401">
        <f t="shared" si="31"/>
        <v>0</v>
      </c>
      <c r="L378" s="173" t="s">
        <v>510</v>
      </c>
    </row>
    <row r="379" spans="1:12" ht="12.75">
      <c r="A379" s="339"/>
      <c r="B379" s="388" t="s">
        <v>389</v>
      </c>
      <c r="C379" s="384">
        <f>SUM(C365:C378)</f>
        <v>1212.63</v>
      </c>
      <c r="D379" s="384">
        <f>SUM(D365:D378)</f>
        <v>995.5</v>
      </c>
      <c r="E379" s="384">
        <f>SUM(E365:E378)</f>
        <v>2208.13</v>
      </c>
      <c r="F379" s="173"/>
      <c r="G379" s="173"/>
      <c r="H379" s="436"/>
      <c r="I379" s="437"/>
      <c r="J379" s="437"/>
      <c r="K379" s="438">
        <f>SUM(K365:K378)</f>
        <v>2208.13</v>
      </c>
      <c r="L379" s="436"/>
    </row>
    <row r="380" spans="1:11" ht="12.75">
      <c r="A380" s="339"/>
      <c r="B380" s="172"/>
      <c r="C380" s="342"/>
      <c r="D380" s="342"/>
      <c r="E380" s="342"/>
      <c r="F380" s="173"/>
      <c r="G380" s="173"/>
      <c r="H380" s="173"/>
      <c r="I380" s="211"/>
      <c r="J380" s="211"/>
      <c r="K380" s="401"/>
    </row>
    <row r="381" spans="1:11" ht="12.75">
      <c r="A381" s="339" t="s">
        <v>518</v>
      </c>
      <c r="B381" s="172"/>
      <c r="C381" s="342"/>
      <c r="D381" s="338"/>
      <c r="E381" s="338"/>
      <c r="F381" s="173"/>
      <c r="G381" s="173"/>
      <c r="H381" s="173"/>
      <c r="I381" s="211"/>
      <c r="J381" s="211"/>
      <c r="K381" s="401"/>
    </row>
    <row r="382" spans="1:12" ht="12.75">
      <c r="A382" s="351"/>
      <c r="B382" s="388" t="s">
        <v>255</v>
      </c>
      <c r="C382" s="381">
        <v>0</v>
      </c>
      <c r="D382" s="381">
        <v>49.75</v>
      </c>
      <c r="E382" s="385">
        <f aca="true" t="shared" si="38" ref="E382:E390">IF((C382+D382=0),"",C382+D382)</f>
        <v>49.75</v>
      </c>
      <c r="F382" s="173"/>
      <c r="G382" s="173" t="s">
        <v>519</v>
      </c>
      <c r="H382" s="173" t="s">
        <v>519</v>
      </c>
      <c r="I382" s="211">
        <f aca="true" t="shared" si="39" ref="I382:I390">SUMIF($G$9:$G$647,H382,$C$9:$C$647)</f>
        <v>76.85</v>
      </c>
      <c r="J382" s="211">
        <f aca="true" t="shared" si="40" ref="J382:J390">SUMIF($G$9:$G$647,H382,$D$9:$D$647)</f>
        <v>49.75</v>
      </c>
      <c r="K382" s="401">
        <f aca="true" t="shared" si="41" ref="K382:K444">SUM(I382:J382)</f>
        <v>126.6</v>
      </c>
      <c r="L382" s="173" t="s">
        <v>520</v>
      </c>
    </row>
    <row r="383" spans="1:12" ht="12.75">
      <c r="A383" s="351"/>
      <c r="B383" s="388" t="s">
        <v>1124</v>
      </c>
      <c r="C383" s="381">
        <v>76.85</v>
      </c>
      <c r="D383" s="381">
        <v>0</v>
      </c>
      <c r="E383" s="385">
        <f t="shared" si="38"/>
        <v>76.85</v>
      </c>
      <c r="F383" s="173"/>
      <c r="G383" s="173" t="s">
        <v>519</v>
      </c>
      <c r="H383" s="173" t="s">
        <v>522</v>
      </c>
      <c r="I383" s="211">
        <f t="shared" si="39"/>
        <v>13</v>
      </c>
      <c r="J383" s="211">
        <f t="shared" si="40"/>
        <v>5</v>
      </c>
      <c r="K383" s="401">
        <f t="shared" si="41"/>
        <v>18</v>
      </c>
      <c r="L383" s="173" t="s">
        <v>520</v>
      </c>
    </row>
    <row r="384" spans="1:12" ht="12.75">
      <c r="A384" s="351"/>
      <c r="B384" s="388" t="s">
        <v>1125</v>
      </c>
      <c r="C384" s="381">
        <v>13</v>
      </c>
      <c r="D384" s="381">
        <v>5</v>
      </c>
      <c r="E384" s="385">
        <f t="shared" si="38"/>
        <v>18</v>
      </c>
      <c r="F384" s="173"/>
      <c r="G384" s="173" t="s">
        <v>522</v>
      </c>
      <c r="H384" s="173" t="s">
        <v>525</v>
      </c>
      <c r="I384" s="211">
        <f t="shared" si="39"/>
        <v>17.2</v>
      </c>
      <c r="J384" s="211">
        <f t="shared" si="40"/>
        <v>5</v>
      </c>
      <c r="K384" s="401">
        <f t="shared" si="41"/>
        <v>22.2</v>
      </c>
      <c r="L384" s="173" t="s">
        <v>520</v>
      </c>
    </row>
    <row r="385" spans="1:12" ht="12.75">
      <c r="A385" s="351"/>
      <c r="B385" s="388" t="s">
        <v>1126</v>
      </c>
      <c r="C385" s="381">
        <v>5</v>
      </c>
      <c r="D385" s="381">
        <f>57-0.05</f>
        <v>56.95</v>
      </c>
      <c r="E385" s="385">
        <f t="shared" si="38"/>
        <v>61.95</v>
      </c>
      <c r="F385" s="173"/>
      <c r="G385" s="173" t="s">
        <v>521</v>
      </c>
      <c r="H385" s="173" t="s">
        <v>521</v>
      </c>
      <c r="I385" s="211">
        <f t="shared" si="39"/>
        <v>100.3</v>
      </c>
      <c r="J385" s="211">
        <f t="shared" si="40"/>
        <v>56.95</v>
      </c>
      <c r="K385" s="401">
        <f t="shared" si="41"/>
        <v>157.25</v>
      </c>
      <c r="L385" s="173" t="s">
        <v>520</v>
      </c>
    </row>
    <row r="386" spans="1:12" ht="12.75">
      <c r="A386" s="351"/>
      <c r="B386" s="388" t="s">
        <v>1127</v>
      </c>
      <c r="C386" s="381">
        <v>12</v>
      </c>
      <c r="D386" s="381">
        <v>2</v>
      </c>
      <c r="E386" s="385">
        <f t="shared" si="38"/>
        <v>14</v>
      </c>
      <c r="F386" s="173"/>
      <c r="G386" s="173" t="s">
        <v>523</v>
      </c>
      <c r="H386" s="173" t="s">
        <v>524</v>
      </c>
      <c r="I386" s="211">
        <f t="shared" si="39"/>
        <v>13</v>
      </c>
      <c r="J386" s="211">
        <f t="shared" si="40"/>
        <v>4</v>
      </c>
      <c r="K386" s="401">
        <f t="shared" si="41"/>
        <v>17</v>
      </c>
      <c r="L386" s="173" t="s">
        <v>520</v>
      </c>
    </row>
    <row r="387" spans="1:12" ht="12.75">
      <c r="A387" s="351"/>
      <c r="B387" s="388" t="s">
        <v>1128</v>
      </c>
      <c r="C387" s="381">
        <v>13</v>
      </c>
      <c r="D387" s="381">
        <v>4</v>
      </c>
      <c r="E387" s="385">
        <f t="shared" si="38"/>
        <v>17</v>
      </c>
      <c r="F387" s="173"/>
      <c r="G387" s="173" t="s">
        <v>524</v>
      </c>
      <c r="H387" s="173" t="s">
        <v>523</v>
      </c>
      <c r="I387" s="211">
        <f t="shared" si="39"/>
        <v>12</v>
      </c>
      <c r="J387" s="211">
        <f t="shared" si="40"/>
        <v>2</v>
      </c>
      <c r="K387" s="401">
        <f t="shared" si="41"/>
        <v>14</v>
      </c>
      <c r="L387" s="173" t="s">
        <v>520</v>
      </c>
    </row>
    <row r="388" spans="1:12" ht="12.75">
      <c r="A388" s="351"/>
      <c r="B388" s="388" t="s">
        <v>1129</v>
      </c>
      <c r="C388" s="381">
        <v>17.2</v>
      </c>
      <c r="D388" s="381">
        <v>5</v>
      </c>
      <c r="E388" s="385">
        <f t="shared" si="38"/>
        <v>22.2</v>
      </c>
      <c r="F388" s="173"/>
      <c r="G388" s="173" t="s">
        <v>525</v>
      </c>
      <c r="I388" s="211">
        <f t="shared" si="39"/>
        <v>0</v>
      </c>
      <c r="J388" s="211">
        <f t="shared" si="40"/>
        <v>0</v>
      </c>
      <c r="K388" s="401">
        <f t="shared" si="41"/>
        <v>0</v>
      </c>
      <c r="L388" s="173" t="s">
        <v>520</v>
      </c>
    </row>
    <row r="389" spans="1:12" ht="12.75">
      <c r="A389" s="351"/>
      <c r="B389" s="388" t="s">
        <v>1130</v>
      </c>
      <c r="C389" s="381">
        <f>48.4-0.1</f>
        <v>48.3</v>
      </c>
      <c r="D389" s="381">
        <v>0</v>
      </c>
      <c r="E389" s="385">
        <f t="shared" si="38"/>
        <v>48.3</v>
      </c>
      <c r="F389" s="173"/>
      <c r="G389" s="173" t="s">
        <v>521</v>
      </c>
      <c r="H389" s="173"/>
      <c r="I389" s="211">
        <f t="shared" si="39"/>
        <v>0</v>
      </c>
      <c r="J389" s="211">
        <f t="shared" si="40"/>
        <v>0</v>
      </c>
      <c r="K389" s="401">
        <f t="shared" si="41"/>
        <v>0</v>
      </c>
      <c r="L389" s="173" t="s">
        <v>520</v>
      </c>
    </row>
    <row r="390" spans="1:12" ht="12.75">
      <c r="A390" s="351"/>
      <c r="B390" s="388" t="s">
        <v>1131</v>
      </c>
      <c r="C390" s="381">
        <v>47</v>
      </c>
      <c r="D390" s="381">
        <v>0</v>
      </c>
      <c r="E390" s="385">
        <f t="shared" si="38"/>
        <v>47</v>
      </c>
      <c r="F390" s="173"/>
      <c r="G390" s="173" t="s">
        <v>521</v>
      </c>
      <c r="H390" s="173"/>
      <c r="I390" s="211">
        <f t="shared" si="39"/>
        <v>0</v>
      </c>
      <c r="J390" s="211">
        <f t="shared" si="40"/>
        <v>0</v>
      </c>
      <c r="K390" s="401">
        <f t="shared" si="41"/>
        <v>0</v>
      </c>
      <c r="L390" s="173" t="s">
        <v>520</v>
      </c>
    </row>
    <row r="391" spans="1:12" ht="12.75">
      <c r="A391" s="339"/>
      <c r="B391" s="388" t="s">
        <v>389</v>
      </c>
      <c r="C391" s="381">
        <f>SUM(C382:C390)</f>
        <v>232.34999999999997</v>
      </c>
      <c r="D391" s="381">
        <f>SUM(D382:D390)</f>
        <v>122.7</v>
      </c>
      <c r="E391" s="381">
        <f>SUM(E382:E390)</f>
        <v>355.05</v>
      </c>
      <c r="F391" s="173"/>
      <c r="G391" s="173"/>
      <c r="H391" s="436"/>
      <c r="I391" s="437"/>
      <c r="J391" s="437"/>
      <c r="K391" s="438">
        <f>SUM(K382:K390)</f>
        <v>355.04999999999995</v>
      </c>
      <c r="L391" s="436"/>
    </row>
    <row r="392" spans="1:11" ht="12.75">
      <c r="A392" s="339"/>
      <c r="B392" s="172"/>
      <c r="C392" s="342"/>
      <c r="D392" s="342"/>
      <c r="E392" s="342"/>
      <c r="F392" s="173"/>
      <c r="G392" s="173"/>
      <c r="H392" s="173"/>
      <c r="I392" s="211"/>
      <c r="J392" s="211"/>
      <c r="K392" s="401"/>
    </row>
    <row r="393" spans="1:11" ht="12.75">
      <c r="A393" s="339" t="s">
        <v>526</v>
      </c>
      <c r="B393" s="172"/>
      <c r="C393" s="342"/>
      <c r="D393" s="338"/>
      <c r="E393" s="338"/>
      <c r="F393" s="173"/>
      <c r="G393" s="173"/>
      <c r="H393" s="173"/>
      <c r="I393" s="211"/>
      <c r="J393" s="211"/>
      <c r="K393" s="401"/>
    </row>
    <row r="394" spans="1:12" ht="12.75">
      <c r="A394" s="351"/>
      <c r="B394" s="388" t="s">
        <v>256</v>
      </c>
      <c r="C394" s="381">
        <v>11.5</v>
      </c>
      <c r="D394" s="381">
        <v>1</v>
      </c>
      <c r="E394" s="385">
        <f aca="true" t="shared" si="42" ref="E394:E405">IF((C394+D394=0),"",C394+D394)</f>
        <v>12.5</v>
      </c>
      <c r="F394" s="173"/>
      <c r="G394" s="173" t="s">
        <v>527</v>
      </c>
      <c r="H394" s="173"/>
      <c r="I394" s="211">
        <f aca="true" t="shared" si="43" ref="I394:I405">SUMIF($G$9:$G$647,H394,$C$9:$C$647)</f>
        <v>0</v>
      </c>
      <c r="J394" s="211">
        <f aca="true" t="shared" si="44" ref="J394:J405">SUMIF($G$9:$G$647,H394,$D$9:$D$647)</f>
        <v>0</v>
      </c>
      <c r="K394" s="401">
        <f t="shared" si="41"/>
        <v>0</v>
      </c>
      <c r="L394" s="173" t="s">
        <v>528</v>
      </c>
    </row>
    <row r="395" spans="1:12" ht="12.75">
      <c r="A395" s="351"/>
      <c r="B395" s="388" t="s">
        <v>257</v>
      </c>
      <c r="C395" s="381">
        <v>5</v>
      </c>
      <c r="D395" s="381">
        <v>5.6</v>
      </c>
      <c r="E395" s="385">
        <f t="shared" si="42"/>
        <v>10.6</v>
      </c>
      <c r="F395" s="173"/>
      <c r="G395" s="173" t="s">
        <v>529</v>
      </c>
      <c r="H395" s="173"/>
      <c r="I395" s="211">
        <f t="shared" si="43"/>
        <v>0</v>
      </c>
      <c r="J395" s="211">
        <f t="shared" si="44"/>
        <v>0</v>
      </c>
      <c r="K395" s="401">
        <f t="shared" si="41"/>
        <v>0</v>
      </c>
      <c r="L395" s="173" t="s">
        <v>528</v>
      </c>
    </row>
    <row r="396" spans="1:12" ht="12.75">
      <c r="A396" s="351"/>
      <c r="B396" s="388" t="s">
        <v>258</v>
      </c>
      <c r="C396" s="381">
        <v>8</v>
      </c>
      <c r="D396" s="381">
        <v>7.5</v>
      </c>
      <c r="E396" s="385">
        <f t="shared" si="42"/>
        <v>15.5</v>
      </c>
      <c r="F396" s="173"/>
      <c r="G396" s="173" t="s">
        <v>530</v>
      </c>
      <c r="H396" s="173"/>
      <c r="I396" s="211">
        <f t="shared" si="43"/>
        <v>0</v>
      </c>
      <c r="J396" s="211">
        <f t="shared" si="44"/>
        <v>0</v>
      </c>
      <c r="K396" s="401">
        <f t="shared" si="41"/>
        <v>0</v>
      </c>
      <c r="L396" s="173" t="s">
        <v>528</v>
      </c>
    </row>
    <row r="397" spans="1:12" ht="12.75">
      <c r="A397" s="351"/>
      <c r="B397" s="388" t="s">
        <v>259</v>
      </c>
      <c r="C397" s="381">
        <v>9</v>
      </c>
      <c r="D397" s="381">
        <v>9</v>
      </c>
      <c r="E397" s="385">
        <f t="shared" si="42"/>
        <v>18</v>
      </c>
      <c r="F397" s="173"/>
      <c r="G397" s="173" t="s">
        <v>1249</v>
      </c>
      <c r="H397" s="173"/>
      <c r="I397" s="211">
        <f t="shared" si="43"/>
        <v>0</v>
      </c>
      <c r="J397" s="211">
        <f t="shared" si="44"/>
        <v>0</v>
      </c>
      <c r="K397" s="401">
        <f t="shared" si="41"/>
        <v>0</v>
      </c>
      <c r="L397" s="173" t="s">
        <v>528</v>
      </c>
    </row>
    <row r="398" spans="1:12" ht="12.75">
      <c r="A398" s="351"/>
      <c r="B398" s="388" t="s">
        <v>260</v>
      </c>
      <c r="C398" s="381">
        <v>23</v>
      </c>
      <c r="D398" s="381">
        <v>7.75</v>
      </c>
      <c r="E398" s="385">
        <f t="shared" si="42"/>
        <v>30.75</v>
      </c>
      <c r="F398" s="173"/>
      <c r="G398" s="173" t="s">
        <v>1250</v>
      </c>
      <c r="H398" s="173"/>
      <c r="I398" s="211">
        <f t="shared" si="43"/>
        <v>0</v>
      </c>
      <c r="J398" s="211">
        <f t="shared" si="44"/>
        <v>0</v>
      </c>
      <c r="K398" s="401">
        <f t="shared" si="41"/>
        <v>0</v>
      </c>
      <c r="L398" s="173" t="s">
        <v>528</v>
      </c>
    </row>
    <row r="399" spans="1:12" ht="12.75">
      <c r="A399" s="351"/>
      <c r="B399" s="388" t="s">
        <v>261</v>
      </c>
      <c r="C399" s="381">
        <f>13.2-1</f>
        <v>12.2</v>
      </c>
      <c r="D399" s="381">
        <v>4.85</v>
      </c>
      <c r="E399" s="385">
        <f t="shared" si="42"/>
        <v>17.049999999999997</v>
      </c>
      <c r="F399" s="173"/>
      <c r="G399" s="173" t="s">
        <v>531</v>
      </c>
      <c r="H399" s="173"/>
      <c r="I399" s="211">
        <f t="shared" si="43"/>
        <v>0</v>
      </c>
      <c r="J399" s="211">
        <f t="shared" si="44"/>
        <v>0</v>
      </c>
      <c r="K399" s="401">
        <f t="shared" si="41"/>
        <v>0</v>
      </c>
      <c r="L399" s="173" t="s">
        <v>528</v>
      </c>
    </row>
    <row r="400" spans="1:12" ht="12.75">
      <c r="A400" s="351"/>
      <c r="B400" s="388" t="s">
        <v>262</v>
      </c>
      <c r="C400" s="381">
        <f>36-0.25</f>
        <v>35.75</v>
      </c>
      <c r="D400" s="381">
        <v>19</v>
      </c>
      <c r="E400" s="385">
        <f t="shared" si="42"/>
        <v>54.75</v>
      </c>
      <c r="F400" s="173"/>
      <c r="G400" s="173" t="s">
        <v>532</v>
      </c>
      <c r="H400" s="173"/>
      <c r="I400" s="211">
        <f t="shared" si="43"/>
        <v>0</v>
      </c>
      <c r="J400" s="211">
        <f t="shared" si="44"/>
        <v>0</v>
      </c>
      <c r="K400" s="401">
        <f t="shared" si="41"/>
        <v>0</v>
      </c>
      <c r="L400" s="173" t="s">
        <v>528</v>
      </c>
    </row>
    <row r="401" spans="1:12" ht="12.75">
      <c r="A401" s="351"/>
      <c r="B401" s="388" t="s">
        <v>263</v>
      </c>
      <c r="C401" s="381">
        <v>13</v>
      </c>
      <c r="D401" s="381">
        <v>13</v>
      </c>
      <c r="E401" s="385">
        <f t="shared" si="42"/>
        <v>26</v>
      </c>
      <c r="F401" s="173"/>
      <c r="G401" s="173" t="s">
        <v>533</v>
      </c>
      <c r="H401" s="173"/>
      <c r="I401" s="211">
        <f t="shared" si="43"/>
        <v>0</v>
      </c>
      <c r="J401" s="211">
        <f t="shared" si="44"/>
        <v>0</v>
      </c>
      <c r="K401" s="401">
        <f t="shared" si="41"/>
        <v>0</v>
      </c>
      <c r="L401" s="173" t="s">
        <v>528</v>
      </c>
    </row>
    <row r="402" spans="1:12" ht="12.75">
      <c r="A402" s="351"/>
      <c r="B402" s="388" t="s">
        <v>264</v>
      </c>
      <c r="C402" s="381">
        <v>13</v>
      </c>
      <c r="D402" s="381">
        <v>6</v>
      </c>
      <c r="E402" s="385">
        <f t="shared" si="42"/>
        <v>19</v>
      </c>
      <c r="F402" s="173"/>
      <c r="G402" s="173" t="s">
        <v>534</v>
      </c>
      <c r="H402" s="173"/>
      <c r="I402" s="211">
        <f t="shared" si="43"/>
        <v>0</v>
      </c>
      <c r="J402" s="211">
        <f t="shared" si="44"/>
        <v>0</v>
      </c>
      <c r="K402" s="401">
        <f t="shared" si="41"/>
        <v>0</v>
      </c>
      <c r="L402" s="173" t="s">
        <v>528</v>
      </c>
    </row>
    <row r="403" spans="1:12" ht="12.75">
      <c r="A403" s="351"/>
      <c r="B403" s="388" t="s">
        <v>265</v>
      </c>
      <c r="C403" s="381">
        <v>9.5</v>
      </c>
      <c r="D403" s="381">
        <v>3.5</v>
      </c>
      <c r="E403" s="385">
        <f t="shared" si="42"/>
        <v>13</v>
      </c>
      <c r="F403" s="173"/>
      <c r="G403" s="173" t="s">
        <v>535</v>
      </c>
      <c r="H403" s="173"/>
      <c r="I403" s="211">
        <f t="shared" si="43"/>
        <v>0</v>
      </c>
      <c r="J403" s="211">
        <f t="shared" si="44"/>
        <v>0</v>
      </c>
      <c r="K403" s="401">
        <f t="shared" si="41"/>
        <v>0</v>
      </c>
      <c r="L403" s="173" t="s">
        <v>528</v>
      </c>
    </row>
    <row r="404" spans="1:12" ht="12.75">
      <c r="A404" s="351"/>
      <c r="B404" s="388" t="s">
        <v>266</v>
      </c>
      <c r="C404" s="381">
        <v>21</v>
      </c>
      <c r="D404" s="381">
        <v>32.75</v>
      </c>
      <c r="E404" s="385">
        <f t="shared" si="42"/>
        <v>53.75</v>
      </c>
      <c r="F404" s="173"/>
      <c r="G404" s="173" t="s">
        <v>1077</v>
      </c>
      <c r="H404" s="173"/>
      <c r="I404" s="211">
        <f t="shared" si="43"/>
        <v>0</v>
      </c>
      <c r="J404" s="211">
        <f t="shared" si="44"/>
        <v>0</v>
      </c>
      <c r="K404" s="401">
        <f t="shared" si="41"/>
        <v>0</v>
      </c>
      <c r="L404" s="173" t="s">
        <v>528</v>
      </c>
    </row>
    <row r="405" spans="1:12" ht="12.75">
      <c r="A405" s="351"/>
      <c r="B405" s="388" t="s">
        <v>267</v>
      </c>
      <c r="C405" s="381">
        <v>12.5</v>
      </c>
      <c r="D405" s="381">
        <v>9.75</v>
      </c>
      <c r="E405" s="385">
        <f t="shared" si="42"/>
        <v>22.25</v>
      </c>
      <c r="F405" s="173"/>
      <c r="G405" s="173" t="s">
        <v>536</v>
      </c>
      <c r="H405" s="173"/>
      <c r="I405" s="211">
        <f t="shared" si="43"/>
        <v>0</v>
      </c>
      <c r="J405" s="211">
        <f t="shared" si="44"/>
        <v>0</v>
      </c>
      <c r="K405" s="401">
        <f t="shared" si="41"/>
        <v>0</v>
      </c>
      <c r="L405" s="173" t="s">
        <v>528</v>
      </c>
    </row>
    <row r="406" spans="1:12" ht="12.75">
      <c r="A406" s="339"/>
      <c r="B406" s="388" t="s">
        <v>389</v>
      </c>
      <c r="C406" s="381">
        <f>SUM(C394:C405)</f>
        <v>173.45</v>
      </c>
      <c r="D406" s="381">
        <f>SUM(D394:D405)</f>
        <v>119.7</v>
      </c>
      <c r="E406" s="379">
        <f>SUM(E394:E405)</f>
        <v>293.15</v>
      </c>
      <c r="F406" s="173"/>
      <c r="G406" s="173"/>
      <c r="H406" s="436"/>
      <c r="I406" s="437"/>
      <c r="J406" s="437"/>
      <c r="K406" s="438">
        <f>SUM(K394:K405)</f>
        <v>0</v>
      </c>
      <c r="L406" s="436"/>
    </row>
    <row r="407" spans="1:11" ht="12.75">
      <c r="A407" s="339"/>
      <c r="B407" s="172"/>
      <c r="C407" s="342"/>
      <c r="D407" s="342"/>
      <c r="E407" s="342"/>
      <c r="F407" s="173"/>
      <c r="G407" s="173"/>
      <c r="H407" s="173"/>
      <c r="I407" s="211"/>
      <c r="J407" s="211"/>
      <c r="K407" s="401"/>
    </row>
    <row r="408" spans="1:11" ht="12.75">
      <c r="A408" s="339" t="s">
        <v>537</v>
      </c>
      <c r="B408" s="172"/>
      <c r="C408" s="394"/>
      <c r="D408" s="350"/>
      <c r="E408" s="350"/>
      <c r="F408" s="173"/>
      <c r="G408" s="173"/>
      <c r="H408" s="173"/>
      <c r="I408" s="211"/>
      <c r="J408" s="211"/>
      <c r="K408" s="401"/>
    </row>
    <row r="409" spans="1:12" ht="12.75">
      <c r="A409" s="351"/>
      <c r="B409" s="361" t="s">
        <v>268</v>
      </c>
      <c r="C409" s="381">
        <v>47.6</v>
      </c>
      <c r="D409" s="381">
        <v>50.15</v>
      </c>
      <c r="E409" s="385">
        <f aca="true" t="shared" si="45" ref="E409:E433">IF((C409+D409=0),"",C409+D409)</f>
        <v>97.75</v>
      </c>
      <c r="F409" s="173"/>
      <c r="G409" s="173" t="s">
        <v>538</v>
      </c>
      <c r="H409" s="173" t="s">
        <v>541</v>
      </c>
      <c r="I409" s="211">
        <f aca="true" t="shared" si="46" ref="I409:I436">SUMIF($G$9:$G$647,H409,$C$9:$C$647)</f>
        <v>59.7</v>
      </c>
      <c r="J409" s="211">
        <f aca="true" t="shared" si="47" ref="J409:J436">SUMIF($G$9:$G$647,H409,$D$9:$D$647)</f>
        <v>48.25</v>
      </c>
      <c r="K409" s="401">
        <f>SUM(I409:J409)</f>
        <v>107.95</v>
      </c>
      <c r="L409" s="173" t="s">
        <v>539</v>
      </c>
    </row>
    <row r="410" spans="1:12" ht="12.75">
      <c r="A410" s="351"/>
      <c r="B410" s="361" t="s">
        <v>269</v>
      </c>
      <c r="C410" s="381">
        <v>75.25</v>
      </c>
      <c r="D410" s="381">
        <v>39.5</v>
      </c>
      <c r="E410" s="385">
        <f t="shared" si="45"/>
        <v>114.75</v>
      </c>
      <c r="F410" s="173"/>
      <c r="G410" s="173" t="s">
        <v>538</v>
      </c>
      <c r="H410" s="173" t="s">
        <v>540</v>
      </c>
      <c r="I410" s="211">
        <f t="shared" si="46"/>
        <v>598.1</v>
      </c>
      <c r="J410" s="211">
        <f t="shared" si="47"/>
        <v>472.25</v>
      </c>
      <c r="K410" s="401">
        <f>SUM(I410:J410)</f>
        <v>1070.35</v>
      </c>
      <c r="L410" s="173" t="s">
        <v>539</v>
      </c>
    </row>
    <row r="411" spans="1:12" ht="12.75">
      <c r="A411" s="351"/>
      <c r="B411" s="361" t="s">
        <v>1132</v>
      </c>
      <c r="C411" s="381">
        <f>122.2-0.6</f>
        <v>121.60000000000001</v>
      </c>
      <c r="D411" s="381">
        <f>88.4-2</f>
        <v>86.4</v>
      </c>
      <c r="E411" s="385">
        <f t="shared" si="45"/>
        <v>208</v>
      </c>
      <c r="F411" s="173"/>
      <c r="G411" s="173" t="s">
        <v>1170</v>
      </c>
      <c r="H411" s="173" t="s">
        <v>542</v>
      </c>
      <c r="I411" s="211">
        <f t="shared" si="46"/>
        <v>86.4</v>
      </c>
      <c r="J411" s="211">
        <f t="shared" si="47"/>
        <v>60.3</v>
      </c>
      <c r="K411" s="401">
        <f t="shared" si="41"/>
        <v>146.7</v>
      </c>
      <c r="L411" s="173" t="s">
        <v>539</v>
      </c>
    </row>
    <row r="412" spans="1:12" ht="12.75">
      <c r="A412" s="351"/>
      <c r="B412" s="361" t="s">
        <v>1074</v>
      </c>
      <c r="C412" s="381">
        <v>8.5</v>
      </c>
      <c r="D412" s="381">
        <v>3</v>
      </c>
      <c r="E412" s="385">
        <f t="shared" si="45"/>
        <v>11.5</v>
      </c>
      <c r="F412" s="173"/>
      <c r="G412" s="173" t="s">
        <v>1065</v>
      </c>
      <c r="H412" s="204" t="s">
        <v>543</v>
      </c>
      <c r="I412" s="211">
        <f t="shared" si="46"/>
        <v>64</v>
      </c>
      <c r="J412" s="211">
        <f t="shared" si="47"/>
        <v>45.5</v>
      </c>
      <c r="K412" s="401">
        <f t="shared" si="41"/>
        <v>109.5</v>
      </c>
      <c r="L412" s="173" t="s">
        <v>539</v>
      </c>
    </row>
    <row r="413" spans="1:12" ht="12.75">
      <c r="A413" s="351"/>
      <c r="B413" s="361" t="s">
        <v>1133</v>
      </c>
      <c r="C413" s="381">
        <f>60-0.45</f>
        <v>59.55</v>
      </c>
      <c r="D413" s="381">
        <v>55</v>
      </c>
      <c r="E413" s="385">
        <f t="shared" si="45"/>
        <v>114.55</v>
      </c>
      <c r="F413" s="173"/>
      <c r="G413" s="173" t="s">
        <v>552</v>
      </c>
      <c r="H413" s="173" t="s">
        <v>544</v>
      </c>
      <c r="I413" s="211">
        <f t="shared" si="46"/>
        <v>43.7</v>
      </c>
      <c r="J413" s="211">
        <f t="shared" si="47"/>
        <v>17.25</v>
      </c>
      <c r="K413" s="401">
        <f t="shared" si="41"/>
        <v>60.95</v>
      </c>
      <c r="L413" s="173" t="s">
        <v>539</v>
      </c>
    </row>
    <row r="414" spans="1:12" ht="12.75">
      <c r="A414" s="351"/>
      <c r="B414" s="361" t="s">
        <v>270</v>
      </c>
      <c r="C414" s="381">
        <v>0</v>
      </c>
      <c r="D414" s="381">
        <f>473.35-1.1</f>
        <v>472.25</v>
      </c>
      <c r="E414" s="385">
        <f t="shared" si="45"/>
        <v>472.25</v>
      </c>
      <c r="F414" s="173"/>
      <c r="G414" s="173" t="s">
        <v>540</v>
      </c>
      <c r="H414" s="173" t="s">
        <v>538</v>
      </c>
      <c r="I414" s="211">
        <f t="shared" si="46"/>
        <v>122.85</v>
      </c>
      <c r="J414" s="211">
        <f t="shared" si="47"/>
        <v>89.65</v>
      </c>
      <c r="K414" s="401">
        <f t="shared" si="41"/>
        <v>212.5</v>
      </c>
      <c r="L414" s="173" t="s">
        <v>539</v>
      </c>
    </row>
    <row r="415" spans="1:12" ht="12.75">
      <c r="A415" s="351"/>
      <c r="B415" s="361" t="s">
        <v>1233</v>
      </c>
      <c r="C415" s="381">
        <f>86.7-0.3</f>
        <v>86.4</v>
      </c>
      <c r="D415" s="381">
        <f>61.3-1</f>
        <v>60.3</v>
      </c>
      <c r="E415" s="385">
        <f t="shared" si="45"/>
        <v>146.7</v>
      </c>
      <c r="F415" s="173"/>
      <c r="G415" s="173" t="s">
        <v>542</v>
      </c>
      <c r="H415" s="173" t="s">
        <v>545</v>
      </c>
      <c r="I415" s="211">
        <f t="shared" si="46"/>
        <v>122.9</v>
      </c>
      <c r="J415" s="211">
        <f t="shared" si="47"/>
        <v>94.3</v>
      </c>
      <c r="K415" s="401">
        <f t="shared" si="41"/>
        <v>217.2</v>
      </c>
      <c r="L415" s="173" t="s">
        <v>539</v>
      </c>
    </row>
    <row r="416" spans="1:12" ht="12.75">
      <c r="A416" s="351"/>
      <c r="B416" s="361" t="s">
        <v>1134</v>
      </c>
      <c r="C416" s="381">
        <f>123-0.1</f>
        <v>122.9</v>
      </c>
      <c r="D416" s="381">
        <f>95.3-1</f>
        <v>94.3</v>
      </c>
      <c r="E416" s="385">
        <f t="shared" si="45"/>
        <v>217.2</v>
      </c>
      <c r="F416" s="173"/>
      <c r="G416" s="173" t="s">
        <v>545</v>
      </c>
      <c r="H416" s="173" t="s">
        <v>1075</v>
      </c>
      <c r="I416" s="211">
        <f t="shared" si="46"/>
        <v>97.25</v>
      </c>
      <c r="J416" s="211">
        <f t="shared" si="47"/>
        <v>73.5</v>
      </c>
      <c r="K416" s="401">
        <f t="shared" si="41"/>
        <v>170.75</v>
      </c>
      <c r="L416" s="173" t="s">
        <v>539</v>
      </c>
    </row>
    <row r="417" spans="1:12" ht="12.75">
      <c r="A417" s="351"/>
      <c r="B417" s="361" t="s">
        <v>1135</v>
      </c>
      <c r="C417" s="381">
        <f>97.5-0.25</f>
        <v>97.25</v>
      </c>
      <c r="D417" s="381">
        <f>74.85-1.35</f>
        <v>73.5</v>
      </c>
      <c r="E417" s="385">
        <f t="shared" si="45"/>
        <v>170.75</v>
      </c>
      <c r="F417" s="173"/>
      <c r="G417" s="173" t="s">
        <v>1075</v>
      </c>
      <c r="H417" s="173" t="s">
        <v>546</v>
      </c>
      <c r="I417" s="211">
        <f t="shared" si="46"/>
        <v>159.5</v>
      </c>
      <c r="J417" s="211">
        <f t="shared" si="47"/>
        <v>102.1</v>
      </c>
      <c r="K417" s="401">
        <f t="shared" si="41"/>
        <v>261.6</v>
      </c>
      <c r="L417" s="173" t="s">
        <v>539</v>
      </c>
    </row>
    <row r="418" spans="1:12" ht="12.75">
      <c r="A418" s="351"/>
      <c r="B418" s="361" t="s">
        <v>271</v>
      </c>
      <c r="C418" s="381">
        <v>64</v>
      </c>
      <c r="D418" s="381">
        <f>46.5-1</f>
        <v>45.5</v>
      </c>
      <c r="E418" s="385">
        <f t="shared" si="45"/>
        <v>109.5</v>
      </c>
      <c r="F418" s="173"/>
      <c r="G418" s="173" t="s">
        <v>543</v>
      </c>
      <c r="H418" s="173" t="s">
        <v>547</v>
      </c>
      <c r="I418" s="211">
        <f t="shared" si="46"/>
        <v>66</v>
      </c>
      <c r="J418" s="211">
        <f t="shared" si="47"/>
        <v>52.5</v>
      </c>
      <c r="K418" s="401">
        <f t="shared" si="41"/>
        <v>118.5</v>
      </c>
      <c r="L418" s="173" t="s">
        <v>539</v>
      </c>
    </row>
    <row r="419" spans="1:12" ht="12.75">
      <c r="A419" s="351"/>
      <c r="B419" s="361" t="s">
        <v>1136</v>
      </c>
      <c r="C419" s="381">
        <v>59.7</v>
      </c>
      <c r="D419" s="381">
        <v>48.25</v>
      </c>
      <c r="E419" s="385">
        <f t="shared" si="45"/>
        <v>107.95</v>
      </c>
      <c r="F419" s="173"/>
      <c r="G419" s="173" t="s">
        <v>541</v>
      </c>
      <c r="H419" s="173" t="s">
        <v>549</v>
      </c>
      <c r="I419" s="211">
        <f t="shared" si="46"/>
        <v>30</v>
      </c>
      <c r="J419" s="211">
        <f t="shared" si="47"/>
        <v>14</v>
      </c>
      <c r="K419" s="401">
        <f t="shared" si="41"/>
        <v>44</v>
      </c>
      <c r="L419" s="173" t="s">
        <v>539</v>
      </c>
    </row>
    <row r="420" spans="1:14" ht="12.75">
      <c r="A420" s="351"/>
      <c r="B420" s="361" t="s">
        <v>1177</v>
      </c>
      <c r="C420" s="381">
        <v>159.5</v>
      </c>
      <c r="D420" s="381">
        <f>103.1-1</f>
        <v>102.1</v>
      </c>
      <c r="E420" s="385">
        <f t="shared" si="45"/>
        <v>261.6</v>
      </c>
      <c r="F420" s="173"/>
      <c r="G420" s="173" t="s">
        <v>546</v>
      </c>
      <c r="H420" s="173" t="s">
        <v>550</v>
      </c>
      <c r="I420" s="211">
        <f t="shared" si="46"/>
        <v>57.2</v>
      </c>
      <c r="J420" s="211">
        <f t="shared" si="47"/>
        <v>27.9</v>
      </c>
      <c r="K420" s="401">
        <f t="shared" si="41"/>
        <v>85.1</v>
      </c>
      <c r="L420" s="173" t="s">
        <v>539</v>
      </c>
      <c r="N420" s="439"/>
    </row>
    <row r="421" spans="1:14" ht="12.75">
      <c r="A421" s="351"/>
      <c r="B421" s="361" t="s">
        <v>1189</v>
      </c>
      <c r="C421" s="381">
        <f>341.3-1.15</f>
        <v>340.15000000000003</v>
      </c>
      <c r="D421" s="381">
        <v>0</v>
      </c>
      <c r="E421" s="385">
        <f t="shared" si="45"/>
        <v>340.15000000000003</v>
      </c>
      <c r="F421" s="173"/>
      <c r="G421" s="173" t="s">
        <v>540</v>
      </c>
      <c r="H421" s="173" t="s">
        <v>551</v>
      </c>
      <c r="I421" s="211">
        <f t="shared" si="46"/>
        <v>83.7</v>
      </c>
      <c r="J421" s="211">
        <f t="shared" si="47"/>
        <v>70.25</v>
      </c>
      <c r="K421" s="401">
        <f t="shared" si="41"/>
        <v>153.95</v>
      </c>
      <c r="L421" s="173" t="s">
        <v>539</v>
      </c>
      <c r="N421" s="440"/>
    </row>
    <row r="422" spans="1:12" ht="12.75">
      <c r="A422" s="351"/>
      <c r="B422" s="361" t="s">
        <v>272</v>
      </c>
      <c r="C422" s="381">
        <v>66</v>
      </c>
      <c r="D422" s="381">
        <v>52.5</v>
      </c>
      <c r="E422" s="385">
        <f t="shared" si="45"/>
        <v>118.5</v>
      </c>
      <c r="F422" s="173"/>
      <c r="G422" s="173" t="s">
        <v>547</v>
      </c>
      <c r="H422" s="173" t="s">
        <v>552</v>
      </c>
      <c r="I422" s="211">
        <f t="shared" si="46"/>
        <v>59.55</v>
      </c>
      <c r="J422" s="211">
        <f t="shared" si="47"/>
        <v>55</v>
      </c>
      <c r="K422" s="401">
        <f t="shared" si="41"/>
        <v>114.55</v>
      </c>
      <c r="L422" s="173" t="s">
        <v>539</v>
      </c>
    </row>
    <row r="423" spans="1:12" ht="12.75">
      <c r="A423" s="351"/>
      <c r="B423" s="361" t="s">
        <v>1275</v>
      </c>
      <c r="C423" s="381">
        <v>80.5</v>
      </c>
      <c r="D423" s="381">
        <f>73.45-1</f>
        <v>72.45</v>
      </c>
      <c r="E423" s="385">
        <f t="shared" si="45"/>
        <v>152.95</v>
      </c>
      <c r="F423" s="173"/>
      <c r="G423" s="173" t="s">
        <v>556</v>
      </c>
      <c r="H423" s="173" t="s">
        <v>553</v>
      </c>
      <c r="I423" s="211">
        <f t="shared" si="46"/>
        <v>41</v>
      </c>
      <c r="J423" s="211">
        <f t="shared" si="47"/>
        <v>35.6</v>
      </c>
      <c r="K423" s="401">
        <f t="shared" si="41"/>
        <v>76.6</v>
      </c>
      <c r="L423" s="173" t="s">
        <v>539</v>
      </c>
    </row>
    <row r="424" spans="1:12" ht="12.75">
      <c r="A424" s="351"/>
      <c r="B424" s="361" t="s">
        <v>1192</v>
      </c>
      <c r="C424" s="381">
        <f>258.9-0.95</f>
        <v>257.95</v>
      </c>
      <c r="D424" s="381">
        <v>0</v>
      </c>
      <c r="E424" s="385">
        <f t="shared" si="45"/>
        <v>257.95</v>
      </c>
      <c r="F424" s="173"/>
      <c r="G424" s="173" t="s">
        <v>540</v>
      </c>
      <c r="H424" s="173" t="s">
        <v>1170</v>
      </c>
      <c r="I424" s="211">
        <f t="shared" si="46"/>
        <v>121.60000000000001</v>
      </c>
      <c r="J424" s="211">
        <f t="shared" si="47"/>
        <v>86.4</v>
      </c>
      <c r="K424" s="401">
        <f t="shared" si="41"/>
        <v>208</v>
      </c>
      <c r="L424" s="173" t="s">
        <v>539</v>
      </c>
    </row>
    <row r="425" spans="1:12" ht="12.75">
      <c r="A425" s="351"/>
      <c r="B425" s="361" t="s">
        <v>1137</v>
      </c>
      <c r="C425" s="381">
        <v>93.1</v>
      </c>
      <c r="D425" s="381">
        <f>101.8-2.3</f>
        <v>99.5</v>
      </c>
      <c r="E425" s="385">
        <f t="shared" si="45"/>
        <v>192.6</v>
      </c>
      <c r="F425" s="173"/>
      <c r="G425" s="173" t="s">
        <v>548</v>
      </c>
      <c r="H425" s="173" t="s">
        <v>554</v>
      </c>
      <c r="I425" s="211">
        <f t="shared" si="46"/>
        <v>5</v>
      </c>
      <c r="J425" s="211">
        <f t="shared" si="47"/>
        <v>10.4</v>
      </c>
      <c r="K425" s="401">
        <f t="shared" si="41"/>
        <v>15.4</v>
      </c>
      <c r="L425" s="173" t="s">
        <v>539</v>
      </c>
    </row>
    <row r="426" spans="1:12" ht="12.75">
      <c r="A426" s="351"/>
      <c r="B426" s="361" t="s">
        <v>1178</v>
      </c>
      <c r="C426" s="381">
        <v>41</v>
      </c>
      <c r="D426" s="381">
        <v>35.6</v>
      </c>
      <c r="E426" s="385">
        <f t="shared" si="45"/>
        <v>76.6</v>
      </c>
      <c r="F426" s="173"/>
      <c r="G426" s="173" t="s">
        <v>553</v>
      </c>
      <c r="H426" s="173" t="s">
        <v>1065</v>
      </c>
      <c r="I426" s="211">
        <f t="shared" si="46"/>
        <v>8.5</v>
      </c>
      <c r="J426" s="211">
        <f t="shared" si="47"/>
        <v>3</v>
      </c>
      <c r="K426" s="401">
        <f t="shared" si="41"/>
        <v>11.5</v>
      </c>
      <c r="L426" s="173" t="s">
        <v>539</v>
      </c>
    </row>
    <row r="427" spans="1:12" ht="12.75">
      <c r="A427" s="351"/>
      <c r="B427" s="361" t="s">
        <v>1138</v>
      </c>
      <c r="C427" s="381">
        <v>30</v>
      </c>
      <c r="D427" s="381">
        <v>14</v>
      </c>
      <c r="E427" s="385">
        <f t="shared" si="45"/>
        <v>44</v>
      </c>
      <c r="F427" s="173"/>
      <c r="G427" s="173" t="s">
        <v>549</v>
      </c>
      <c r="H427" s="173" t="s">
        <v>555</v>
      </c>
      <c r="I427" s="211">
        <f t="shared" si="46"/>
        <v>127.2</v>
      </c>
      <c r="J427" s="211">
        <f t="shared" si="47"/>
        <v>104.35</v>
      </c>
      <c r="K427" s="401">
        <f t="shared" si="41"/>
        <v>231.55</v>
      </c>
      <c r="L427" s="173" t="s">
        <v>539</v>
      </c>
    </row>
    <row r="428" spans="1:12" ht="12.75">
      <c r="A428" s="351"/>
      <c r="B428" s="361" t="s">
        <v>1139</v>
      </c>
      <c r="C428" s="381">
        <v>53</v>
      </c>
      <c r="D428" s="381">
        <v>55</v>
      </c>
      <c r="E428" s="385">
        <f t="shared" si="45"/>
        <v>108</v>
      </c>
      <c r="F428" s="173"/>
      <c r="G428" s="173" t="s">
        <v>557</v>
      </c>
      <c r="H428" s="173" t="s">
        <v>548</v>
      </c>
      <c r="I428" s="211">
        <f t="shared" si="46"/>
        <v>93.1</v>
      </c>
      <c r="J428" s="211">
        <f t="shared" si="47"/>
        <v>99.5</v>
      </c>
      <c r="K428" s="401">
        <f t="shared" si="41"/>
        <v>192.6</v>
      </c>
      <c r="L428" s="173" t="s">
        <v>539</v>
      </c>
    </row>
    <row r="429" spans="1:12" ht="12.75">
      <c r="A429" s="351"/>
      <c r="B429" s="361" t="s">
        <v>1140</v>
      </c>
      <c r="C429" s="381">
        <v>5</v>
      </c>
      <c r="D429" s="381">
        <v>10.4</v>
      </c>
      <c r="E429" s="385">
        <f t="shared" si="45"/>
        <v>15.4</v>
      </c>
      <c r="F429" s="173"/>
      <c r="G429" s="173" t="s">
        <v>554</v>
      </c>
      <c r="H429" s="173" t="s">
        <v>556</v>
      </c>
      <c r="I429" s="211">
        <f t="shared" si="46"/>
        <v>80.5</v>
      </c>
      <c r="J429" s="211">
        <f t="shared" si="47"/>
        <v>72.45</v>
      </c>
      <c r="K429" s="401">
        <f t="shared" si="41"/>
        <v>152.95</v>
      </c>
      <c r="L429" s="173" t="s">
        <v>539</v>
      </c>
    </row>
    <row r="430" spans="1:12" ht="12.75">
      <c r="A430" s="351"/>
      <c r="B430" s="361" t="s">
        <v>1179</v>
      </c>
      <c r="C430" s="381">
        <f>127.3-0.1</f>
        <v>127.2</v>
      </c>
      <c r="D430" s="381">
        <v>104.35</v>
      </c>
      <c r="E430" s="385">
        <f t="shared" si="45"/>
        <v>231.55</v>
      </c>
      <c r="F430" s="173"/>
      <c r="G430" s="173" t="s">
        <v>555</v>
      </c>
      <c r="H430" s="173" t="s">
        <v>557</v>
      </c>
      <c r="I430" s="211">
        <f t="shared" si="46"/>
        <v>53</v>
      </c>
      <c r="J430" s="211">
        <f t="shared" si="47"/>
        <v>55</v>
      </c>
      <c r="K430" s="401">
        <f t="shared" si="41"/>
        <v>108</v>
      </c>
      <c r="L430" s="173" t="s">
        <v>539</v>
      </c>
    </row>
    <row r="431" spans="1:12" ht="12.75">
      <c r="A431" s="351"/>
      <c r="B431" s="361" t="s">
        <v>1141</v>
      </c>
      <c r="C431" s="381">
        <v>43.7</v>
      </c>
      <c r="D431" s="381">
        <f>17.5-0.25</f>
        <v>17.25</v>
      </c>
      <c r="E431" s="385">
        <f t="shared" si="45"/>
        <v>60.95</v>
      </c>
      <c r="F431" s="173"/>
      <c r="G431" s="173" t="s">
        <v>544</v>
      </c>
      <c r="H431" s="173"/>
      <c r="I431" s="211">
        <f t="shared" si="46"/>
        <v>0</v>
      </c>
      <c r="J431" s="211">
        <f t="shared" si="47"/>
        <v>0</v>
      </c>
      <c r="K431" s="401">
        <f t="shared" si="41"/>
        <v>0</v>
      </c>
      <c r="L431" s="173" t="s">
        <v>539</v>
      </c>
    </row>
    <row r="432" spans="1:12" ht="12.75">
      <c r="A432" s="351"/>
      <c r="B432" s="361" t="s">
        <v>1142</v>
      </c>
      <c r="C432" s="381">
        <v>57.2</v>
      </c>
      <c r="D432" s="381">
        <v>27.9</v>
      </c>
      <c r="E432" s="385">
        <f t="shared" si="45"/>
        <v>85.1</v>
      </c>
      <c r="F432" s="173"/>
      <c r="G432" s="173" t="s">
        <v>550</v>
      </c>
      <c r="H432" s="173"/>
      <c r="I432" s="211">
        <f t="shared" si="46"/>
        <v>0</v>
      </c>
      <c r="J432" s="211">
        <f t="shared" si="47"/>
        <v>0</v>
      </c>
      <c r="K432" s="401">
        <f t="shared" si="41"/>
        <v>0</v>
      </c>
      <c r="L432" s="173" t="s">
        <v>539</v>
      </c>
    </row>
    <row r="433" spans="1:12" ht="12.75">
      <c r="A433" s="351"/>
      <c r="B433" s="361" t="s">
        <v>1143</v>
      </c>
      <c r="C433" s="381">
        <v>83.7</v>
      </c>
      <c r="D433" s="381">
        <v>70.25</v>
      </c>
      <c r="E433" s="385">
        <f t="shared" si="45"/>
        <v>153.95</v>
      </c>
      <c r="F433" s="173"/>
      <c r="G433" s="173" t="s">
        <v>551</v>
      </c>
      <c r="H433" s="173"/>
      <c r="I433" s="211">
        <f t="shared" si="46"/>
        <v>0</v>
      </c>
      <c r="J433" s="211">
        <f t="shared" si="47"/>
        <v>0</v>
      </c>
      <c r="K433" s="401">
        <f t="shared" si="41"/>
        <v>0</v>
      </c>
      <c r="L433" s="173" t="s">
        <v>539</v>
      </c>
    </row>
    <row r="434" spans="1:12" ht="12.75">
      <c r="A434" s="351"/>
      <c r="B434" s="397" t="s">
        <v>1187</v>
      </c>
      <c r="C434" s="381">
        <v>164.95</v>
      </c>
      <c r="D434" s="381">
        <v>0</v>
      </c>
      <c r="E434" s="385">
        <f>IF((C434+D434=0),"",C434+D434)</f>
        <v>164.95</v>
      </c>
      <c r="F434" s="173"/>
      <c r="G434" s="173" t="s">
        <v>404</v>
      </c>
      <c r="H434" s="173"/>
      <c r="I434" s="211">
        <f t="shared" si="46"/>
        <v>0</v>
      </c>
      <c r="J434" s="211">
        <f t="shared" si="47"/>
        <v>0</v>
      </c>
      <c r="K434" s="401">
        <f t="shared" si="41"/>
        <v>0</v>
      </c>
      <c r="L434" s="173" t="s">
        <v>539</v>
      </c>
    </row>
    <row r="435" spans="1:12" ht="12.75">
      <c r="A435" s="351"/>
      <c r="B435" s="361" t="s">
        <v>1169</v>
      </c>
      <c r="C435" s="381">
        <v>0</v>
      </c>
      <c r="D435" s="381">
        <f>86.75-7.25</f>
        <v>79.5</v>
      </c>
      <c r="E435" s="385">
        <f>IF((C435+D435=0),"",C435+D435)</f>
        <v>79.5</v>
      </c>
      <c r="F435" s="173"/>
      <c r="G435" s="173" t="s">
        <v>404</v>
      </c>
      <c r="H435" s="173"/>
      <c r="I435" s="211">
        <f t="shared" si="46"/>
        <v>0</v>
      </c>
      <c r="J435" s="211">
        <f t="shared" si="47"/>
        <v>0</v>
      </c>
      <c r="K435" s="401">
        <f t="shared" si="41"/>
        <v>0</v>
      </c>
      <c r="L435" s="173" t="s">
        <v>539</v>
      </c>
    </row>
    <row r="436" spans="1:12" ht="12.75">
      <c r="A436" s="351"/>
      <c r="B436" s="361" t="s">
        <v>273</v>
      </c>
      <c r="C436" s="381">
        <v>0</v>
      </c>
      <c r="D436" s="385">
        <v>18</v>
      </c>
      <c r="E436" s="385">
        <f>IF((C436+D436=0),"",C436+D436)</f>
        <v>18</v>
      </c>
      <c r="F436" s="173"/>
      <c r="G436" s="173" t="s">
        <v>404</v>
      </c>
      <c r="H436" s="173"/>
      <c r="I436" s="211">
        <f t="shared" si="46"/>
        <v>0</v>
      </c>
      <c r="J436" s="211">
        <f t="shared" si="47"/>
        <v>0</v>
      </c>
      <c r="K436" s="401">
        <f t="shared" si="41"/>
        <v>0</v>
      </c>
      <c r="L436" s="173" t="s">
        <v>539</v>
      </c>
    </row>
    <row r="437" spans="1:12" ht="12.75">
      <c r="A437" s="339"/>
      <c r="B437" s="361" t="s">
        <v>389</v>
      </c>
      <c r="C437" s="379">
        <f>SUM(C409:C436)</f>
        <v>2345.7</v>
      </c>
      <c r="D437" s="379">
        <f>SUM(D409:D436)</f>
        <v>1786.9499999999998</v>
      </c>
      <c r="E437" s="379">
        <f>SUM(E409:E436)</f>
        <v>4132.65</v>
      </c>
      <c r="F437" s="173"/>
      <c r="G437" s="173"/>
      <c r="H437" s="436"/>
      <c r="I437" s="437"/>
      <c r="J437" s="437"/>
      <c r="K437" s="438">
        <f>SUM(K409:K436)</f>
        <v>3870.2</v>
      </c>
      <c r="L437" s="436"/>
    </row>
    <row r="438" spans="1:11" ht="12.75">
      <c r="A438" s="339"/>
      <c r="B438" s="172"/>
      <c r="C438" s="342"/>
      <c r="D438" s="342"/>
      <c r="E438" s="342"/>
      <c r="F438" s="173"/>
      <c r="G438" s="173"/>
      <c r="H438" s="173"/>
      <c r="I438" s="211"/>
      <c r="J438" s="211"/>
      <c r="K438" s="401"/>
    </row>
    <row r="439" spans="1:11" ht="12.75">
      <c r="A439" s="339" t="s">
        <v>558</v>
      </c>
      <c r="B439" s="172"/>
      <c r="C439" s="342"/>
      <c r="D439" s="338"/>
      <c r="E439" s="338"/>
      <c r="F439" s="173"/>
      <c r="G439" s="173"/>
      <c r="H439" s="173"/>
      <c r="I439" s="211"/>
      <c r="J439" s="211"/>
      <c r="K439" s="401"/>
    </row>
    <row r="440" spans="1:12" ht="12.75">
      <c r="A440" s="351"/>
      <c r="B440" s="361" t="s">
        <v>1068</v>
      </c>
      <c r="C440" s="381">
        <f>128.55-0.2</f>
        <v>128.35000000000002</v>
      </c>
      <c r="D440" s="381">
        <f>95.1-1</f>
        <v>94.1</v>
      </c>
      <c r="E440" s="385">
        <f aca="true" t="shared" si="48" ref="E440:E449">IF((C440+D440=0),"",C440+D440)</f>
        <v>222.45000000000002</v>
      </c>
      <c r="F440" s="173"/>
      <c r="G440" s="173" t="s">
        <v>1069</v>
      </c>
      <c r="H440" s="173"/>
      <c r="I440" s="211">
        <f aca="true" t="shared" si="49" ref="I440:I449">SUMIF($G$9:$G$647,H440,$C$9:$C$647)</f>
        <v>0</v>
      </c>
      <c r="J440" s="211">
        <f aca="true" t="shared" si="50" ref="J440:J449">SUMIF($G$9:$G$647,H440,$D$9:$D$647)</f>
        <v>0</v>
      </c>
      <c r="K440" s="401">
        <f t="shared" si="41"/>
        <v>0</v>
      </c>
      <c r="L440" s="173" t="s">
        <v>559</v>
      </c>
    </row>
    <row r="441" spans="1:12" ht="12.75">
      <c r="A441" s="351"/>
      <c r="B441" s="361" t="s">
        <v>274</v>
      </c>
      <c r="C441" s="381">
        <f>147.9-1.25</f>
        <v>146.65</v>
      </c>
      <c r="D441" s="381">
        <v>60.85</v>
      </c>
      <c r="E441" s="385">
        <f t="shared" si="48"/>
        <v>207.5</v>
      </c>
      <c r="F441" s="173"/>
      <c r="G441" s="173" t="s">
        <v>560</v>
      </c>
      <c r="H441" s="173"/>
      <c r="I441" s="211">
        <f t="shared" si="49"/>
        <v>0</v>
      </c>
      <c r="J441" s="211">
        <f t="shared" si="50"/>
        <v>0</v>
      </c>
      <c r="K441" s="401">
        <f t="shared" si="41"/>
        <v>0</v>
      </c>
      <c r="L441" s="173" t="s">
        <v>559</v>
      </c>
    </row>
    <row r="442" spans="1:12" ht="12.75">
      <c r="A442" s="351"/>
      <c r="B442" s="361" t="s">
        <v>275</v>
      </c>
      <c r="C442" s="381">
        <v>273.15</v>
      </c>
      <c r="D442" s="458">
        <f>176.35+((-24.5-0.1)+(24.5+0.1))</f>
        <v>176.35</v>
      </c>
      <c r="E442" s="385">
        <f t="shared" si="48"/>
        <v>449.5</v>
      </c>
      <c r="F442" s="173"/>
      <c r="G442" s="173" t="s">
        <v>561</v>
      </c>
      <c r="H442" s="173"/>
      <c r="I442" s="211">
        <f t="shared" si="49"/>
        <v>0</v>
      </c>
      <c r="J442" s="211">
        <f t="shared" si="50"/>
        <v>0</v>
      </c>
      <c r="K442" s="401">
        <f t="shared" si="41"/>
        <v>0</v>
      </c>
      <c r="L442" s="173" t="s">
        <v>559</v>
      </c>
    </row>
    <row r="443" spans="1:12" ht="12.75">
      <c r="A443" s="351"/>
      <c r="B443" s="361" t="s">
        <v>276</v>
      </c>
      <c r="C443" s="381">
        <f>119.6-1</f>
        <v>118.6</v>
      </c>
      <c r="D443" s="381">
        <v>57.1</v>
      </c>
      <c r="E443" s="385">
        <f t="shared" si="48"/>
        <v>175.7</v>
      </c>
      <c r="F443" s="173"/>
      <c r="G443" s="173" t="s">
        <v>562</v>
      </c>
      <c r="H443" s="173"/>
      <c r="I443" s="211">
        <f t="shared" si="49"/>
        <v>0</v>
      </c>
      <c r="J443" s="211">
        <f t="shared" si="50"/>
        <v>0</v>
      </c>
      <c r="K443" s="401">
        <f t="shared" si="41"/>
        <v>0</v>
      </c>
      <c r="L443" s="173" t="s">
        <v>559</v>
      </c>
    </row>
    <row r="444" spans="1:12" ht="12.75">
      <c r="A444" s="351"/>
      <c r="B444" s="361" t="s">
        <v>277</v>
      </c>
      <c r="C444" s="381">
        <f>75.2-0.7</f>
        <v>74.5</v>
      </c>
      <c r="D444" s="381">
        <v>43.7</v>
      </c>
      <c r="E444" s="385">
        <f t="shared" si="48"/>
        <v>118.2</v>
      </c>
      <c r="F444" s="173"/>
      <c r="G444" s="173" t="s">
        <v>563</v>
      </c>
      <c r="H444" s="173"/>
      <c r="I444" s="211">
        <f t="shared" si="49"/>
        <v>0</v>
      </c>
      <c r="J444" s="211">
        <f t="shared" si="50"/>
        <v>0</v>
      </c>
      <c r="K444" s="401">
        <f t="shared" si="41"/>
        <v>0</v>
      </c>
      <c r="L444" s="173" t="s">
        <v>559</v>
      </c>
    </row>
    <row r="445" spans="1:12" ht="12.75">
      <c r="A445" s="351"/>
      <c r="B445" s="361" t="s">
        <v>278</v>
      </c>
      <c r="C445" s="381">
        <v>125.4</v>
      </c>
      <c r="D445" s="381">
        <v>74.9</v>
      </c>
      <c r="E445" s="385">
        <f t="shared" si="48"/>
        <v>200.3</v>
      </c>
      <c r="F445" s="173"/>
      <c r="G445" s="173" t="s">
        <v>564</v>
      </c>
      <c r="H445" s="173"/>
      <c r="I445" s="211">
        <f t="shared" si="49"/>
        <v>0</v>
      </c>
      <c r="J445" s="211">
        <f t="shared" si="50"/>
        <v>0</v>
      </c>
      <c r="K445" s="401">
        <f aca="true" t="shared" si="51" ref="K445:K450">SUM(I445:J445)</f>
        <v>0</v>
      </c>
      <c r="L445" s="173" t="s">
        <v>559</v>
      </c>
    </row>
    <row r="446" spans="1:12" ht="12.75">
      <c r="A446" s="351"/>
      <c r="B446" s="361" t="s">
        <v>279</v>
      </c>
      <c r="C446" s="381">
        <f>121.2-1</f>
        <v>120.2</v>
      </c>
      <c r="D446" s="381">
        <v>69</v>
      </c>
      <c r="E446" s="385">
        <f t="shared" si="48"/>
        <v>189.2</v>
      </c>
      <c r="F446" s="173"/>
      <c r="G446" s="173" t="s">
        <v>565</v>
      </c>
      <c r="H446" s="173"/>
      <c r="I446" s="211">
        <f t="shared" si="49"/>
        <v>0</v>
      </c>
      <c r="J446" s="211">
        <f t="shared" si="50"/>
        <v>0</v>
      </c>
      <c r="K446" s="401">
        <f t="shared" si="51"/>
        <v>0</v>
      </c>
      <c r="L446" s="173" t="s">
        <v>559</v>
      </c>
    </row>
    <row r="447" spans="1:12" ht="12.75">
      <c r="A447" s="351"/>
      <c r="B447" s="361" t="s">
        <v>280</v>
      </c>
      <c r="C447" s="381">
        <f>84.5-1.25</f>
        <v>83.25</v>
      </c>
      <c r="D447" s="381">
        <f>40.9-1</f>
        <v>39.9</v>
      </c>
      <c r="E447" s="385">
        <f t="shared" si="48"/>
        <v>123.15</v>
      </c>
      <c r="F447" s="173"/>
      <c r="G447" s="173" t="s">
        <v>280</v>
      </c>
      <c r="H447" s="173"/>
      <c r="I447" s="211">
        <f t="shared" si="49"/>
        <v>0</v>
      </c>
      <c r="J447" s="211">
        <f t="shared" si="50"/>
        <v>0</v>
      </c>
      <c r="K447" s="401">
        <f t="shared" si="51"/>
        <v>0</v>
      </c>
      <c r="L447" s="173" t="s">
        <v>559</v>
      </c>
    </row>
    <row r="448" spans="1:12" ht="12.75">
      <c r="A448" s="351"/>
      <c r="B448" s="361" t="s">
        <v>281</v>
      </c>
      <c r="C448" s="381">
        <v>131.75</v>
      </c>
      <c r="D448" s="381">
        <v>101.6</v>
      </c>
      <c r="E448" s="385">
        <f t="shared" si="48"/>
        <v>233.35</v>
      </c>
      <c r="F448" s="173"/>
      <c r="G448" s="173" t="s">
        <v>566</v>
      </c>
      <c r="H448" s="173"/>
      <c r="I448" s="211">
        <f t="shared" si="49"/>
        <v>0</v>
      </c>
      <c r="J448" s="211">
        <f t="shared" si="50"/>
        <v>0</v>
      </c>
      <c r="K448" s="401">
        <f t="shared" si="51"/>
        <v>0</v>
      </c>
      <c r="L448" s="173" t="s">
        <v>559</v>
      </c>
    </row>
    <row r="449" spans="1:12" ht="12.75">
      <c r="A449" s="351"/>
      <c r="B449" s="361" t="s">
        <v>1277</v>
      </c>
      <c r="C449" s="381">
        <v>32</v>
      </c>
      <c r="D449" s="381">
        <f>31.45-0.15</f>
        <v>31.3</v>
      </c>
      <c r="E449" s="385">
        <f t="shared" si="48"/>
        <v>63.3</v>
      </c>
      <c r="F449" s="173"/>
      <c r="G449" s="173" t="s">
        <v>567</v>
      </c>
      <c r="H449" s="173"/>
      <c r="I449" s="211">
        <f t="shared" si="49"/>
        <v>0</v>
      </c>
      <c r="J449" s="211">
        <f t="shared" si="50"/>
        <v>0</v>
      </c>
      <c r="K449" s="401">
        <f t="shared" si="51"/>
        <v>0</v>
      </c>
      <c r="L449" s="173" t="s">
        <v>559</v>
      </c>
    </row>
    <row r="450" spans="1:12" ht="12.75">
      <c r="A450" s="339"/>
      <c r="B450" s="361" t="s">
        <v>389</v>
      </c>
      <c r="C450" s="381">
        <f>SUM(C440:C449)</f>
        <v>1233.85</v>
      </c>
      <c r="D450" s="381">
        <f>SUM(D440:D449)</f>
        <v>748.8</v>
      </c>
      <c r="E450" s="381">
        <f>SUM(E440:E449)</f>
        <v>1982.65</v>
      </c>
      <c r="F450" s="173"/>
      <c r="G450" s="173"/>
      <c r="H450" s="436"/>
      <c r="I450" s="437"/>
      <c r="J450" s="437"/>
      <c r="K450" s="438">
        <f t="shared" si="51"/>
        <v>0</v>
      </c>
      <c r="L450" s="436"/>
    </row>
    <row r="451" spans="1:11" ht="12.75">
      <c r="A451" s="339"/>
      <c r="B451" s="172"/>
      <c r="C451" s="342"/>
      <c r="D451" s="342"/>
      <c r="E451" s="342"/>
      <c r="F451" s="173"/>
      <c r="G451" s="173"/>
      <c r="H451" s="173"/>
      <c r="I451" s="211"/>
      <c r="J451" s="211"/>
      <c r="K451" s="401"/>
    </row>
    <row r="452" spans="1:13" ht="12.75">
      <c r="A452" s="339" t="s">
        <v>568</v>
      </c>
      <c r="B452" s="172"/>
      <c r="C452" s="342"/>
      <c r="D452" s="338"/>
      <c r="E452" s="338"/>
      <c r="F452" s="173"/>
      <c r="G452" s="173"/>
      <c r="H452" s="173"/>
      <c r="I452" s="211"/>
      <c r="J452" s="211"/>
      <c r="K452" s="401"/>
      <c r="M452" s="419"/>
    </row>
    <row r="453" spans="1:12" ht="12.75">
      <c r="A453" s="351"/>
      <c r="B453" s="361" t="s">
        <v>1144</v>
      </c>
      <c r="C453" s="384">
        <v>13</v>
      </c>
      <c r="D453" s="384">
        <v>6</v>
      </c>
      <c r="E453" s="384">
        <f aca="true" t="shared" si="52" ref="E453:E492">IF((C453+D453=0),"",C453+D453)</f>
        <v>19</v>
      </c>
      <c r="F453" s="173"/>
      <c r="G453" s="173" t="s">
        <v>282</v>
      </c>
      <c r="H453" s="173" t="s">
        <v>282</v>
      </c>
      <c r="I453" s="211">
        <f aca="true" t="shared" si="53" ref="I453:I497">SUMIF($G$9:$G$647,H453,$C$9:$C$647)</f>
        <v>13</v>
      </c>
      <c r="J453" s="211">
        <f aca="true" t="shared" si="54" ref="J453:J497">SUMIF($G$9:$G$647,H453,$D$9:$D$647)</f>
        <v>6</v>
      </c>
      <c r="K453" s="401">
        <f aca="true" t="shared" si="55" ref="K453:K469">SUM(I453:J453)</f>
        <v>19</v>
      </c>
      <c r="L453" s="173" t="s">
        <v>570</v>
      </c>
    </row>
    <row r="454" spans="1:12" ht="12.75">
      <c r="A454" s="351"/>
      <c r="B454" s="361" t="s">
        <v>283</v>
      </c>
      <c r="C454" s="384">
        <v>374.23</v>
      </c>
      <c r="D454" s="384">
        <v>0</v>
      </c>
      <c r="E454" s="384">
        <f t="shared" si="52"/>
        <v>374.23</v>
      </c>
      <c r="F454" s="173"/>
      <c r="G454" s="173" t="s">
        <v>571</v>
      </c>
      <c r="H454" s="173" t="s">
        <v>569</v>
      </c>
      <c r="I454" s="211">
        <f t="shared" si="53"/>
        <v>1550.38</v>
      </c>
      <c r="J454" s="211">
        <f t="shared" si="54"/>
        <v>1604.43</v>
      </c>
      <c r="K454" s="401">
        <f t="shared" si="55"/>
        <v>3154.8100000000004</v>
      </c>
      <c r="L454" s="173" t="s">
        <v>570</v>
      </c>
    </row>
    <row r="455" spans="1:12" ht="12.75">
      <c r="A455" s="351"/>
      <c r="B455" s="361" t="s">
        <v>1145</v>
      </c>
      <c r="C455" s="384">
        <v>278.85</v>
      </c>
      <c r="D455" s="384">
        <v>0</v>
      </c>
      <c r="E455" s="384">
        <f t="shared" si="52"/>
        <v>278.85</v>
      </c>
      <c r="F455" s="173"/>
      <c r="G455" s="173" t="s">
        <v>572</v>
      </c>
      <c r="H455" s="173" t="s">
        <v>287</v>
      </c>
      <c r="I455" s="211">
        <f t="shared" si="53"/>
        <v>23</v>
      </c>
      <c r="J455" s="211">
        <f t="shared" si="54"/>
        <v>10</v>
      </c>
      <c r="K455" s="401">
        <f t="shared" si="55"/>
        <v>33</v>
      </c>
      <c r="L455" s="173" t="s">
        <v>570</v>
      </c>
    </row>
    <row r="456" spans="1:12" ht="12.75">
      <c r="A456" s="351"/>
      <c r="B456" s="361" t="s">
        <v>284</v>
      </c>
      <c r="C456" s="384">
        <v>0</v>
      </c>
      <c r="D456" s="384">
        <f>1121.53-0.05</f>
        <v>1121.48</v>
      </c>
      <c r="E456" s="384">
        <f t="shared" si="52"/>
        <v>1121.48</v>
      </c>
      <c r="F456" s="173"/>
      <c r="G456" s="173" t="s">
        <v>569</v>
      </c>
      <c r="H456" s="173" t="s">
        <v>571</v>
      </c>
      <c r="I456" s="211">
        <f t="shared" si="53"/>
        <v>1039.73</v>
      </c>
      <c r="J456" s="211">
        <f t="shared" si="54"/>
        <v>615.95</v>
      </c>
      <c r="K456" s="401">
        <f t="shared" si="55"/>
        <v>1655.68</v>
      </c>
      <c r="L456" s="173" t="s">
        <v>570</v>
      </c>
    </row>
    <row r="457" spans="1:12" ht="12.75">
      <c r="A457" s="351"/>
      <c r="B457" s="361" t="s">
        <v>285</v>
      </c>
      <c r="C457" s="384">
        <v>279.5</v>
      </c>
      <c r="D457" s="384">
        <f>483-0.05</f>
        <v>482.95</v>
      </c>
      <c r="E457" s="384">
        <f t="shared" si="52"/>
        <v>762.45</v>
      </c>
      <c r="F457" s="173"/>
      <c r="G457" s="173" t="s">
        <v>569</v>
      </c>
      <c r="H457" s="173" t="s">
        <v>572</v>
      </c>
      <c r="I457" s="211">
        <f t="shared" si="53"/>
        <v>2051.52</v>
      </c>
      <c r="J457" s="211">
        <f t="shared" si="54"/>
        <v>1192.0000000000002</v>
      </c>
      <c r="K457" s="401">
        <f t="shared" si="55"/>
        <v>3243.5200000000004</v>
      </c>
      <c r="L457" s="173" t="s">
        <v>570</v>
      </c>
    </row>
    <row r="458" spans="1:12" ht="12.75">
      <c r="A458" s="351"/>
      <c r="B458" s="361" t="s">
        <v>286</v>
      </c>
      <c r="C458" s="384">
        <v>455.65</v>
      </c>
      <c r="D458" s="384">
        <v>0</v>
      </c>
      <c r="E458" s="384">
        <f t="shared" si="52"/>
        <v>455.65</v>
      </c>
      <c r="F458" s="173"/>
      <c r="G458" s="173" t="s">
        <v>569</v>
      </c>
      <c r="H458" s="173" t="s">
        <v>573</v>
      </c>
      <c r="I458" s="211">
        <f t="shared" si="53"/>
        <v>162.75</v>
      </c>
      <c r="J458" s="211">
        <f t="shared" si="54"/>
        <v>145.85</v>
      </c>
      <c r="K458" s="401">
        <f t="shared" si="55"/>
        <v>308.6</v>
      </c>
      <c r="L458" s="173" t="s">
        <v>570</v>
      </c>
    </row>
    <row r="459" spans="1:12" ht="12.75">
      <c r="A459" s="351"/>
      <c r="B459" s="361" t="s">
        <v>1256</v>
      </c>
      <c r="C459" s="384">
        <v>393.15</v>
      </c>
      <c r="D459" s="384">
        <v>0</v>
      </c>
      <c r="E459" s="384">
        <f t="shared" si="52"/>
        <v>393.15</v>
      </c>
      <c r="F459" s="173"/>
      <c r="G459" s="173" t="s">
        <v>574</v>
      </c>
      <c r="H459" s="173" t="s">
        <v>574</v>
      </c>
      <c r="I459" s="211">
        <f t="shared" si="53"/>
        <v>3623.6799999999994</v>
      </c>
      <c r="J459" s="211">
        <f t="shared" si="54"/>
        <v>3442.49</v>
      </c>
      <c r="K459" s="401">
        <f>SUM(I459:J459)</f>
        <v>7066.169999999999</v>
      </c>
      <c r="L459" s="173" t="s">
        <v>570</v>
      </c>
    </row>
    <row r="460" spans="1:12" ht="12.75">
      <c r="A460" s="351"/>
      <c r="B460" s="361" t="s">
        <v>1146</v>
      </c>
      <c r="C460" s="384">
        <f>385.8-2</f>
        <v>383.8</v>
      </c>
      <c r="D460" s="384">
        <v>0</v>
      </c>
      <c r="E460" s="384">
        <f t="shared" si="52"/>
        <v>383.8</v>
      </c>
      <c r="F460" s="173"/>
      <c r="G460" s="173" t="s">
        <v>569</v>
      </c>
      <c r="I460" s="211">
        <f t="shared" si="53"/>
        <v>0</v>
      </c>
      <c r="J460" s="211">
        <f t="shared" si="54"/>
        <v>0</v>
      </c>
      <c r="K460" s="401">
        <f t="shared" si="55"/>
        <v>0</v>
      </c>
      <c r="L460" s="173" t="s">
        <v>570</v>
      </c>
    </row>
    <row r="461" spans="1:12" ht="12.75">
      <c r="A461" s="351"/>
      <c r="B461" s="361" t="s">
        <v>1082</v>
      </c>
      <c r="C461" s="384">
        <v>441.18</v>
      </c>
      <c r="D461" s="384">
        <v>0</v>
      </c>
      <c r="E461" s="384">
        <f>IF((C461+D461=0),"",C461+D461)</f>
        <v>441.18</v>
      </c>
      <c r="F461" s="173"/>
      <c r="G461" s="173" t="s">
        <v>572</v>
      </c>
      <c r="I461" s="211">
        <f t="shared" si="53"/>
        <v>0</v>
      </c>
      <c r="J461" s="211">
        <f t="shared" si="54"/>
        <v>0</v>
      </c>
      <c r="K461" s="401">
        <f t="shared" si="55"/>
        <v>0</v>
      </c>
      <c r="L461" s="173" t="s">
        <v>570</v>
      </c>
    </row>
    <row r="462" spans="1:12" ht="12.75">
      <c r="A462" s="351"/>
      <c r="B462" s="361" t="s">
        <v>1147</v>
      </c>
      <c r="C462" s="384">
        <v>23</v>
      </c>
      <c r="D462" s="384">
        <f>10.25-0.25</f>
        <v>10</v>
      </c>
      <c r="E462" s="384">
        <f t="shared" si="52"/>
        <v>33</v>
      </c>
      <c r="F462" s="173"/>
      <c r="G462" s="173" t="s">
        <v>287</v>
      </c>
      <c r="I462" s="211">
        <f t="shared" si="53"/>
        <v>0</v>
      </c>
      <c r="J462" s="211">
        <f t="shared" si="54"/>
        <v>0</v>
      </c>
      <c r="K462" s="401">
        <f t="shared" si="55"/>
        <v>0</v>
      </c>
      <c r="L462" s="173" t="s">
        <v>570</v>
      </c>
    </row>
    <row r="463" spans="1:12" ht="12.75">
      <c r="A463" s="351"/>
      <c r="B463" s="361" t="s">
        <v>1058</v>
      </c>
      <c r="C463" s="384">
        <v>306.15</v>
      </c>
      <c r="D463" s="384">
        <v>0</v>
      </c>
      <c r="E463" s="384">
        <f t="shared" si="52"/>
        <v>306.15</v>
      </c>
      <c r="F463" s="173"/>
      <c r="G463" s="173" t="s">
        <v>574</v>
      </c>
      <c r="I463" s="211">
        <f t="shared" si="53"/>
        <v>0</v>
      </c>
      <c r="J463" s="211">
        <f t="shared" si="54"/>
        <v>0</v>
      </c>
      <c r="K463" s="401">
        <f t="shared" si="55"/>
        <v>0</v>
      </c>
      <c r="L463" s="173" t="s">
        <v>570</v>
      </c>
    </row>
    <row r="464" spans="1:12" ht="12.75">
      <c r="A464" s="351"/>
      <c r="B464" s="361" t="s">
        <v>288</v>
      </c>
      <c r="C464" s="384">
        <v>0</v>
      </c>
      <c r="D464" s="384">
        <f>366.5-1.9</f>
        <v>364.6</v>
      </c>
      <c r="E464" s="384">
        <f t="shared" si="52"/>
        <v>364.6</v>
      </c>
      <c r="F464" s="173"/>
      <c r="G464" s="173" t="s">
        <v>571</v>
      </c>
      <c r="H464" s="173"/>
      <c r="I464" s="211">
        <f t="shared" si="53"/>
        <v>0</v>
      </c>
      <c r="J464" s="211">
        <f t="shared" si="54"/>
        <v>0</v>
      </c>
      <c r="K464" s="401">
        <f t="shared" si="55"/>
        <v>0</v>
      </c>
      <c r="L464" s="173" t="s">
        <v>570</v>
      </c>
    </row>
    <row r="465" spans="1:12" ht="12.75">
      <c r="A465" s="351"/>
      <c r="B465" s="361" t="s">
        <v>289</v>
      </c>
      <c r="C465" s="384">
        <v>128.05</v>
      </c>
      <c r="D465" s="384">
        <f>251.8-0.45</f>
        <v>251.35000000000002</v>
      </c>
      <c r="E465" s="384">
        <f t="shared" si="52"/>
        <v>379.40000000000003</v>
      </c>
      <c r="F465" s="173"/>
      <c r="G465" s="173" t="s">
        <v>571</v>
      </c>
      <c r="H465" s="173"/>
      <c r="I465" s="211">
        <f t="shared" si="53"/>
        <v>0</v>
      </c>
      <c r="J465" s="211">
        <f t="shared" si="54"/>
        <v>0</v>
      </c>
      <c r="K465" s="401">
        <f t="shared" si="55"/>
        <v>0</v>
      </c>
      <c r="L465" s="173" t="s">
        <v>570</v>
      </c>
    </row>
    <row r="466" spans="1:12" ht="12.75">
      <c r="A466" s="351"/>
      <c r="B466" s="361" t="s">
        <v>1148</v>
      </c>
      <c r="C466" s="384">
        <v>416.8</v>
      </c>
      <c r="D466" s="384">
        <v>0</v>
      </c>
      <c r="E466" s="384">
        <f t="shared" si="52"/>
        <v>416.8</v>
      </c>
      <c r="F466" s="173"/>
      <c r="G466" s="173" t="s">
        <v>574</v>
      </c>
      <c r="H466" s="173"/>
      <c r="I466" s="211">
        <f t="shared" si="53"/>
        <v>0</v>
      </c>
      <c r="J466" s="211">
        <f t="shared" si="54"/>
        <v>0</v>
      </c>
      <c r="K466" s="401">
        <f t="shared" si="55"/>
        <v>0</v>
      </c>
      <c r="L466" s="173" t="s">
        <v>570</v>
      </c>
    </row>
    <row r="467" spans="1:12" ht="12.75">
      <c r="A467" s="351"/>
      <c r="B467" s="361" t="s">
        <v>1241</v>
      </c>
      <c r="C467" s="384">
        <v>123.5</v>
      </c>
      <c r="D467" s="384">
        <f>482.45-0.75</f>
        <v>481.7</v>
      </c>
      <c r="E467" s="384">
        <f t="shared" si="52"/>
        <v>605.2</v>
      </c>
      <c r="F467" s="173"/>
      <c r="G467" s="173" t="s">
        <v>574</v>
      </c>
      <c r="H467" s="173"/>
      <c r="I467" s="211">
        <f t="shared" si="53"/>
        <v>0</v>
      </c>
      <c r="J467" s="211">
        <f t="shared" si="54"/>
        <v>0</v>
      </c>
      <c r="K467" s="401">
        <f>SUM(I467:J467)</f>
        <v>0</v>
      </c>
      <c r="L467" s="173" t="s">
        <v>570</v>
      </c>
    </row>
    <row r="468" spans="1:12" ht="12.75">
      <c r="A468" s="383"/>
      <c r="B468" s="361" t="s">
        <v>304</v>
      </c>
      <c r="C468" s="384">
        <f>426.95-0.35</f>
        <v>426.59999999999997</v>
      </c>
      <c r="D468" s="384">
        <v>0</v>
      </c>
      <c r="E468" s="384">
        <f>IF((C468+D468=0),"",C468+D468)</f>
        <v>426.59999999999997</v>
      </c>
      <c r="F468" s="173"/>
      <c r="G468" s="173" t="s">
        <v>574</v>
      </c>
      <c r="H468" s="173"/>
      <c r="I468" s="211">
        <f t="shared" si="53"/>
        <v>0</v>
      </c>
      <c r="J468" s="211">
        <f t="shared" si="54"/>
        <v>0</v>
      </c>
      <c r="K468" s="401">
        <f>SUM(I468:J468)</f>
        <v>0</v>
      </c>
      <c r="L468" s="173" t="s">
        <v>570</v>
      </c>
    </row>
    <row r="469" spans="1:12" ht="12.75">
      <c r="A469" s="351"/>
      <c r="B469" s="361" t="s">
        <v>1059</v>
      </c>
      <c r="C469" s="384">
        <v>282</v>
      </c>
      <c r="D469" s="384">
        <v>0</v>
      </c>
      <c r="E469" s="384">
        <f>IF((C469+D469=0),"",C469+D469)</f>
        <v>282</v>
      </c>
      <c r="F469" s="173"/>
      <c r="G469" s="173" t="s">
        <v>574</v>
      </c>
      <c r="H469" s="173"/>
      <c r="I469" s="211">
        <f t="shared" si="53"/>
        <v>0</v>
      </c>
      <c r="J469" s="211">
        <f t="shared" si="54"/>
        <v>0</v>
      </c>
      <c r="K469" s="401">
        <f t="shared" si="55"/>
        <v>0</v>
      </c>
      <c r="L469" s="173" t="s">
        <v>570</v>
      </c>
    </row>
    <row r="470" spans="1:12" ht="12.75">
      <c r="A470" s="351"/>
      <c r="B470" s="361" t="s">
        <v>291</v>
      </c>
      <c r="C470" s="384">
        <v>391</v>
      </c>
      <c r="D470" s="384">
        <v>0</v>
      </c>
      <c r="E470" s="384">
        <f t="shared" si="52"/>
        <v>391</v>
      </c>
      <c r="F470" s="173"/>
      <c r="G470" s="173" t="s">
        <v>574</v>
      </c>
      <c r="H470" s="173"/>
      <c r="I470" s="211">
        <f t="shared" si="53"/>
        <v>0</v>
      </c>
      <c r="J470" s="211">
        <f t="shared" si="54"/>
        <v>0</v>
      </c>
      <c r="K470" s="401">
        <f aca="true" t="shared" si="56" ref="K470:K502">SUM(I470:J470)</f>
        <v>0</v>
      </c>
      <c r="L470" s="173" t="s">
        <v>570</v>
      </c>
    </row>
    <row r="471" spans="1:12" ht="12.75">
      <c r="A471" s="351"/>
      <c r="B471" s="361" t="s">
        <v>292</v>
      </c>
      <c r="C471" s="384">
        <v>398.1</v>
      </c>
      <c r="D471" s="384">
        <v>0</v>
      </c>
      <c r="E471" s="384">
        <f>IF((C471+D471=0),"",C471+D471)</f>
        <v>398.1</v>
      </c>
      <c r="F471" s="173"/>
      <c r="G471" s="173" t="s">
        <v>571</v>
      </c>
      <c r="H471" s="173"/>
      <c r="I471" s="211">
        <f t="shared" si="53"/>
        <v>0</v>
      </c>
      <c r="J471" s="211">
        <f t="shared" si="54"/>
        <v>0</v>
      </c>
      <c r="K471" s="401">
        <f t="shared" si="56"/>
        <v>0</v>
      </c>
      <c r="L471" s="173" t="s">
        <v>570</v>
      </c>
    </row>
    <row r="472" spans="1:12" ht="12.75">
      <c r="A472" s="351"/>
      <c r="B472" s="361" t="s">
        <v>293</v>
      </c>
      <c r="C472" s="384">
        <v>0</v>
      </c>
      <c r="D472" s="384">
        <f>753.45-0.55</f>
        <v>752.9000000000001</v>
      </c>
      <c r="E472" s="384">
        <f t="shared" si="52"/>
        <v>752.9000000000001</v>
      </c>
      <c r="F472" s="173"/>
      <c r="G472" s="173" t="s">
        <v>572</v>
      </c>
      <c r="H472" s="173"/>
      <c r="I472" s="211">
        <f t="shared" si="53"/>
        <v>0</v>
      </c>
      <c r="J472" s="211">
        <f t="shared" si="54"/>
        <v>0</v>
      </c>
      <c r="K472" s="401">
        <f t="shared" si="56"/>
        <v>0</v>
      </c>
      <c r="L472" s="173" t="s">
        <v>570</v>
      </c>
    </row>
    <row r="473" spans="1:12" ht="12.75">
      <c r="A473" s="351"/>
      <c r="B473" s="361" t="s">
        <v>294</v>
      </c>
      <c r="C473" s="384">
        <v>183.1</v>
      </c>
      <c r="D473" s="384">
        <v>386.45</v>
      </c>
      <c r="E473" s="384">
        <f t="shared" si="52"/>
        <v>569.55</v>
      </c>
      <c r="F473" s="173"/>
      <c r="G473" s="173" t="s">
        <v>572</v>
      </c>
      <c r="I473" s="211">
        <f t="shared" si="53"/>
        <v>0</v>
      </c>
      <c r="J473" s="211">
        <f t="shared" si="54"/>
        <v>0</v>
      </c>
      <c r="K473" s="401">
        <f t="shared" si="56"/>
        <v>0</v>
      </c>
      <c r="L473" s="173" t="s">
        <v>570</v>
      </c>
    </row>
    <row r="474" spans="1:12" ht="12.75">
      <c r="A474" s="351"/>
      <c r="B474" s="361" t="s">
        <v>295</v>
      </c>
      <c r="C474" s="384">
        <v>431.43</v>
      </c>
      <c r="D474" s="384">
        <v>0</v>
      </c>
      <c r="E474" s="384">
        <f t="shared" si="52"/>
        <v>431.43</v>
      </c>
      <c r="F474" s="173"/>
      <c r="G474" s="173" t="s">
        <v>569</v>
      </c>
      <c r="H474" s="173"/>
      <c r="I474" s="211">
        <f t="shared" si="53"/>
        <v>0</v>
      </c>
      <c r="J474" s="211">
        <f t="shared" si="54"/>
        <v>0</v>
      </c>
      <c r="K474" s="401">
        <f t="shared" si="56"/>
        <v>0</v>
      </c>
      <c r="L474" s="173" t="s">
        <v>570</v>
      </c>
    </row>
    <row r="475" spans="1:12" ht="12.75">
      <c r="A475" s="351"/>
      <c r="B475" s="361" t="s">
        <v>296</v>
      </c>
      <c r="C475" s="384">
        <v>436.35</v>
      </c>
      <c r="D475" s="384">
        <v>0</v>
      </c>
      <c r="E475" s="384">
        <f t="shared" si="52"/>
        <v>436.35</v>
      </c>
      <c r="F475" s="173"/>
      <c r="G475" s="173" t="s">
        <v>572</v>
      </c>
      <c r="I475" s="211">
        <f t="shared" si="53"/>
        <v>0</v>
      </c>
      <c r="J475" s="211">
        <f t="shared" si="54"/>
        <v>0</v>
      </c>
      <c r="K475" s="401">
        <f t="shared" si="56"/>
        <v>0</v>
      </c>
      <c r="L475" s="173" t="s">
        <v>570</v>
      </c>
    </row>
    <row r="476" spans="1:12" ht="12.75">
      <c r="A476" s="351"/>
      <c r="B476" s="361" t="s">
        <v>297</v>
      </c>
      <c r="C476" s="384">
        <f>370.5-0.25</f>
        <v>370.25</v>
      </c>
      <c r="D476" s="384">
        <v>0</v>
      </c>
      <c r="E476" s="384">
        <f t="shared" si="52"/>
        <v>370.25</v>
      </c>
      <c r="F476" s="173"/>
      <c r="G476" s="173" t="s">
        <v>574</v>
      </c>
      <c r="H476" s="173"/>
      <c r="I476" s="211">
        <f t="shared" si="53"/>
        <v>0</v>
      </c>
      <c r="J476" s="211">
        <f t="shared" si="54"/>
        <v>0</v>
      </c>
      <c r="K476" s="401">
        <f t="shared" si="56"/>
        <v>0</v>
      </c>
      <c r="L476" s="173" t="s">
        <v>570</v>
      </c>
    </row>
    <row r="477" spans="1:12" ht="12.75">
      <c r="A477" s="351"/>
      <c r="B477" s="361" t="s">
        <v>1251</v>
      </c>
      <c r="C477" s="384">
        <v>41.25</v>
      </c>
      <c r="D477" s="384">
        <v>145.85</v>
      </c>
      <c r="E477" s="384">
        <f t="shared" si="52"/>
        <v>187.1</v>
      </c>
      <c r="F477" s="173"/>
      <c r="G477" s="173" t="s">
        <v>573</v>
      </c>
      <c r="H477" s="173"/>
      <c r="I477" s="211">
        <f t="shared" si="53"/>
        <v>0</v>
      </c>
      <c r="J477" s="211">
        <f t="shared" si="54"/>
        <v>0</v>
      </c>
      <c r="K477" s="401">
        <f t="shared" si="56"/>
        <v>0</v>
      </c>
      <c r="L477" s="173" t="s">
        <v>570</v>
      </c>
    </row>
    <row r="478" spans="1:12" ht="12.75">
      <c r="A478" s="351"/>
      <c r="B478" s="361" t="s">
        <v>298</v>
      </c>
      <c r="C478" s="384">
        <v>66.39</v>
      </c>
      <c r="D478" s="384">
        <v>0</v>
      </c>
      <c r="E478" s="384">
        <f t="shared" si="52"/>
        <v>66.39</v>
      </c>
      <c r="F478" s="173"/>
      <c r="G478" s="173" t="s">
        <v>572</v>
      </c>
      <c r="H478" s="173"/>
      <c r="I478" s="211">
        <f t="shared" si="53"/>
        <v>0</v>
      </c>
      <c r="J478" s="211">
        <f t="shared" si="54"/>
        <v>0</v>
      </c>
      <c r="K478" s="401">
        <f t="shared" si="56"/>
        <v>0</v>
      </c>
      <c r="L478" s="173" t="s">
        <v>570</v>
      </c>
    </row>
    <row r="479" spans="1:12" ht="12.75">
      <c r="A479" s="351"/>
      <c r="B479" s="361" t="s">
        <v>299</v>
      </c>
      <c r="C479" s="384">
        <f>450.75-0.1</f>
        <v>450.65</v>
      </c>
      <c r="D479" s="384">
        <v>0</v>
      </c>
      <c r="E479" s="384">
        <f t="shared" si="52"/>
        <v>450.65</v>
      </c>
      <c r="F479" s="173"/>
      <c r="G479" s="173" t="s">
        <v>572</v>
      </c>
      <c r="H479" s="173"/>
      <c r="I479" s="211">
        <f t="shared" si="53"/>
        <v>0</v>
      </c>
      <c r="J479" s="211">
        <f t="shared" si="54"/>
        <v>0</v>
      </c>
      <c r="K479" s="401">
        <f t="shared" si="56"/>
        <v>0</v>
      </c>
      <c r="L479" s="173" t="s">
        <v>570</v>
      </c>
    </row>
    <row r="480" spans="1:12" ht="12.75">
      <c r="A480" s="351"/>
      <c r="B480" s="361" t="s">
        <v>300</v>
      </c>
      <c r="C480" s="384">
        <v>99.5</v>
      </c>
      <c r="D480" s="384">
        <v>0</v>
      </c>
      <c r="E480" s="384">
        <f t="shared" si="52"/>
        <v>99.5</v>
      </c>
      <c r="F480" s="173"/>
      <c r="G480" s="173" t="s">
        <v>573</v>
      </c>
      <c r="H480" s="173"/>
      <c r="I480" s="211">
        <f t="shared" si="53"/>
        <v>0</v>
      </c>
      <c r="J480" s="211">
        <f t="shared" si="54"/>
        <v>0</v>
      </c>
      <c r="K480" s="401">
        <f t="shared" si="56"/>
        <v>0</v>
      </c>
      <c r="L480" s="173" t="s">
        <v>570</v>
      </c>
    </row>
    <row r="481" spans="1:12" ht="12.75">
      <c r="A481" s="351"/>
      <c r="B481" s="361" t="s">
        <v>301</v>
      </c>
      <c r="C481" s="384">
        <v>416.18</v>
      </c>
      <c r="D481" s="384">
        <v>0</v>
      </c>
      <c r="E481" s="384">
        <f t="shared" si="52"/>
        <v>416.18</v>
      </c>
      <c r="F481" s="173"/>
      <c r="G481" s="173" t="s">
        <v>574</v>
      </c>
      <c r="H481" s="173"/>
      <c r="I481" s="211">
        <f t="shared" si="53"/>
        <v>0</v>
      </c>
      <c r="J481" s="211">
        <f t="shared" si="54"/>
        <v>0</v>
      </c>
      <c r="K481" s="401">
        <f t="shared" si="56"/>
        <v>0</v>
      </c>
      <c r="L481" s="173" t="s">
        <v>570</v>
      </c>
    </row>
    <row r="482" spans="1:12" ht="12.75">
      <c r="A482" s="351"/>
      <c r="B482" s="361" t="s">
        <v>302</v>
      </c>
      <c r="C482" s="384">
        <v>251.6</v>
      </c>
      <c r="D482" s="384">
        <f>522.19-0.1</f>
        <v>522.09</v>
      </c>
      <c r="E482" s="384">
        <f t="shared" si="52"/>
        <v>773.69</v>
      </c>
      <c r="F482" s="173"/>
      <c r="G482" s="173" t="s">
        <v>574</v>
      </c>
      <c r="H482" s="173"/>
      <c r="I482" s="211">
        <f t="shared" si="53"/>
        <v>0</v>
      </c>
      <c r="J482" s="211">
        <f t="shared" si="54"/>
        <v>0</v>
      </c>
      <c r="K482" s="401">
        <f t="shared" si="56"/>
        <v>0</v>
      </c>
      <c r="L482" s="173" t="s">
        <v>570</v>
      </c>
    </row>
    <row r="483" spans="1:12" ht="12.75">
      <c r="A483" s="351"/>
      <c r="B483" s="361" t="s">
        <v>303</v>
      </c>
      <c r="C483" s="384">
        <v>22</v>
      </c>
      <c r="D483" s="384">
        <v>0</v>
      </c>
      <c r="E483" s="384">
        <f t="shared" si="52"/>
        <v>22</v>
      </c>
      <c r="F483" s="173"/>
      <c r="G483" s="173" t="s">
        <v>573</v>
      </c>
      <c r="H483" s="173"/>
      <c r="I483" s="211">
        <f t="shared" si="53"/>
        <v>0</v>
      </c>
      <c r="J483" s="211">
        <f t="shared" si="54"/>
        <v>0</v>
      </c>
      <c r="K483" s="401">
        <f t="shared" si="56"/>
        <v>0</v>
      </c>
      <c r="L483" s="173" t="s">
        <v>570</v>
      </c>
    </row>
    <row r="484" spans="1:12" ht="12.75">
      <c r="A484" s="383"/>
      <c r="B484" s="361" t="s">
        <v>305</v>
      </c>
      <c r="C484" s="384">
        <v>0</v>
      </c>
      <c r="D484" s="384">
        <f>920.06-1.06</f>
        <v>919</v>
      </c>
      <c r="E484" s="384">
        <f t="shared" si="52"/>
        <v>919</v>
      </c>
      <c r="F484" s="173"/>
      <c r="G484" s="173" t="s">
        <v>574</v>
      </c>
      <c r="H484" s="173"/>
      <c r="I484" s="211">
        <f t="shared" si="53"/>
        <v>0</v>
      </c>
      <c r="J484" s="211">
        <f t="shared" si="54"/>
        <v>0</v>
      </c>
      <c r="K484" s="401">
        <f t="shared" si="56"/>
        <v>0</v>
      </c>
      <c r="L484" s="173" t="s">
        <v>570</v>
      </c>
    </row>
    <row r="485" spans="1:12" ht="12.75">
      <c r="A485" s="351"/>
      <c r="B485" s="361" t="s">
        <v>306</v>
      </c>
      <c r="C485" s="384">
        <v>232.85</v>
      </c>
      <c r="D485" s="384">
        <f>409.3-0.2</f>
        <v>409.1</v>
      </c>
      <c r="E485" s="384">
        <f t="shared" si="52"/>
        <v>641.95</v>
      </c>
      <c r="F485" s="173"/>
      <c r="G485" s="173" t="s">
        <v>574</v>
      </c>
      <c r="H485" s="173"/>
      <c r="I485" s="211">
        <f t="shared" si="53"/>
        <v>0</v>
      </c>
      <c r="J485" s="211">
        <f t="shared" si="54"/>
        <v>0</v>
      </c>
      <c r="K485" s="401">
        <f t="shared" si="56"/>
        <v>0</v>
      </c>
      <c r="L485" s="173" t="s">
        <v>570</v>
      </c>
    </row>
    <row r="486" spans="1:12" ht="12.75">
      <c r="A486" s="351"/>
      <c r="B486" s="361" t="s">
        <v>1278</v>
      </c>
      <c r="C486" s="384">
        <v>139.35</v>
      </c>
      <c r="D486" s="384">
        <v>0</v>
      </c>
      <c r="E486" s="384">
        <f t="shared" si="52"/>
        <v>139.35</v>
      </c>
      <c r="F486" s="173"/>
      <c r="G486" s="173" t="s">
        <v>571</v>
      </c>
      <c r="H486" s="173"/>
      <c r="I486" s="211">
        <f t="shared" si="53"/>
        <v>0</v>
      </c>
      <c r="J486" s="211">
        <f t="shared" si="54"/>
        <v>0</v>
      </c>
      <c r="K486" s="401">
        <f t="shared" si="56"/>
        <v>0</v>
      </c>
      <c r="L486" s="173" t="s">
        <v>570</v>
      </c>
    </row>
    <row r="487" spans="1:12" ht="12.75">
      <c r="A487" s="351"/>
      <c r="B487" s="361" t="s">
        <v>307</v>
      </c>
      <c r="C487" s="384">
        <v>195</v>
      </c>
      <c r="D487" s="384">
        <v>52.65</v>
      </c>
      <c r="E487" s="384">
        <f t="shared" si="52"/>
        <v>247.65</v>
      </c>
      <c r="F487" s="173"/>
      <c r="G487" s="173" t="s">
        <v>572</v>
      </c>
      <c r="H487" s="173"/>
      <c r="I487" s="211">
        <f t="shared" si="53"/>
        <v>0</v>
      </c>
      <c r="J487" s="211">
        <f t="shared" si="54"/>
        <v>0</v>
      </c>
      <c r="K487" s="401">
        <f t="shared" si="56"/>
        <v>0</v>
      </c>
      <c r="L487" s="173" t="s">
        <v>570</v>
      </c>
    </row>
    <row r="488" spans="1:12" ht="12.75">
      <c r="A488" s="351"/>
      <c r="B488" s="361" t="s">
        <v>1149</v>
      </c>
      <c r="C488" s="384">
        <v>148.3</v>
      </c>
      <c r="D488" s="384">
        <v>62</v>
      </c>
      <c r="E488" s="384">
        <f>IF((C488+D488=0),"",C488+D488)</f>
        <v>210.3</v>
      </c>
      <c r="F488" s="173"/>
      <c r="G488" s="173" t="s">
        <v>404</v>
      </c>
      <c r="H488" s="173"/>
      <c r="I488" s="211">
        <f t="shared" si="53"/>
        <v>0</v>
      </c>
      <c r="J488" s="211">
        <f t="shared" si="54"/>
        <v>0</v>
      </c>
      <c r="K488" s="401">
        <f t="shared" si="56"/>
        <v>0</v>
      </c>
      <c r="L488" s="173" t="s">
        <v>570</v>
      </c>
    </row>
    <row r="489" spans="1:12" ht="12.75">
      <c r="A489" s="351"/>
      <c r="B489" s="361" t="s">
        <v>1092</v>
      </c>
      <c r="C489" s="384">
        <f>340.35-0.5</f>
        <v>339.85</v>
      </c>
      <c r="D489" s="384">
        <v>72</v>
      </c>
      <c r="E489" s="384">
        <f t="shared" si="52"/>
        <v>411.85</v>
      </c>
      <c r="F489" s="173"/>
      <c r="G489" s="173" t="s">
        <v>404</v>
      </c>
      <c r="H489" s="173"/>
      <c r="I489" s="211">
        <f t="shared" si="53"/>
        <v>0</v>
      </c>
      <c r="J489" s="211">
        <f t="shared" si="54"/>
        <v>0</v>
      </c>
      <c r="K489" s="401">
        <f t="shared" si="56"/>
        <v>0</v>
      </c>
      <c r="L489" s="173" t="s">
        <v>570</v>
      </c>
    </row>
    <row r="490" spans="1:12" ht="12.75">
      <c r="A490" s="351"/>
      <c r="B490" s="361" t="s">
        <v>1091</v>
      </c>
      <c r="C490" s="384">
        <v>255.1</v>
      </c>
      <c r="D490" s="384">
        <v>32.75</v>
      </c>
      <c r="E490" s="384">
        <f t="shared" si="52"/>
        <v>287.85</v>
      </c>
      <c r="F490" s="173"/>
      <c r="G490" s="173" t="s">
        <v>404</v>
      </c>
      <c r="H490" s="173"/>
      <c r="I490" s="211">
        <f t="shared" si="53"/>
        <v>0</v>
      </c>
      <c r="J490" s="211">
        <f t="shared" si="54"/>
        <v>0</v>
      </c>
      <c r="K490" s="401">
        <f t="shared" si="56"/>
        <v>0</v>
      </c>
      <c r="L490" s="173" t="s">
        <v>570</v>
      </c>
    </row>
    <row r="491" spans="1:13" ht="12.75">
      <c r="A491" s="351"/>
      <c r="B491" s="361" t="s">
        <v>308</v>
      </c>
      <c r="C491" s="384">
        <v>172.5</v>
      </c>
      <c r="D491" s="384">
        <v>19.3</v>
      </c>
      <c r="E491" s="384">
        <f t="shared" si="52"/>
        <v>191.8</v>
      </c>
      <c r="F491" s="173"/>
      <c r="G491" s="173" t="s">
        <v>404</v>
      </c>
      <c r="H491" s="173"/>
      <c r="I491" s="211">
        <f t="shared" si="53"/>
        <v>0</v>
      </c>
      <c r="J491" s="211">
        <f t="shared" si="54"/>
        <v>0</v>
      </c>
      <c r="K491" s="401">
        <f t="shared" si="56"/>
        <v>0</v>
      </c>
      <c r="L491" s="173" t="s">
        <v>570</v>
      </c>
      <c r="M491" s="419"/>
    </row>
    <row r="492" spans="1:12" ht="12.75">
      <c r="A492" s="351"/>
      <c r="B492" s="361" t="s">
        <v>1279</v>
      </c>
      <c r="C492" s="384">
        <v>0</v>
      </c>
      <c r="D492" s="384">
        <v>160.35</v>
      </c>
      <c r="E492" s="384">
        <f t="shared" si="52"/>
        <v>160.35</v>
      </c>
      <c r="F492" s="173"/>
      <c r="G492" s="173" t="s">
        <v>404</v>
      </c>
      <c r="H492" s="173"/>
      <c r="I492" s="211">
        <f t="shared" si="53"/>
        <v>0</v>
      </c>
      <c r="J492" s="211">
        <f t="shared" si="54"/>
        <v>0</v>
      </c>
      <c r="K492" s="401">
        <f t="shared" si="56"/>
        <v>0</v>
      </c>
      <c r="L492" s="173" t="s">
        <v>570</v>
      </c>
    </row>
    <row r="493" spans="1:12" ht="12.75">
      <c r="A493" s="351"/>
      <c r="B493" s="361" t="s">
        <v>311</v>
      </c>
      <c r="C493" s="384">
        <v>0</v>
      </c>
      <c r="D493" s="384">
        <f>202.65-4.15</f>
        <v>198.5</v>
      </c>
      <c r="E493" s="384">
        <f>IF((C493+D493=0),"",C493+D493)</f>
        <v>198.5</v>
      </c>
      <c r="F493" s="173"/>
      <c r="G493" s="173" t="s">
        <v>574</v>
      </c>
      <c r="H493" s="173"/>
      <c r="I493" s="211">
        <f t="shared" si="53"/>
        <v>0</v>
      </c>
      <c r="J493" s="211">
        <f t="shared" si="54"/>
        <v>0</v>
      </c>
      <c r="K493" s="401">
        <f t="shared" si="56"/>
        <v>0</v>
      </c>
      <c r="L493" s="173" t="s">
        <v>570</v>
      </c>
    </row>
    <row r="494" spans="1:12" ht="12.75">
      <c r="A494" s="351"/>
      <c r="B494" s="361" t="s">
        <v>1060</v>
      </c>
      <c r="C494" s="384">
        <v>0</v>
      </c>
      <c r="D494" s="384">
        <f>655-1</f>
        <v>654</v>
      </c>
      <c r="E494" s="384">
        <f>IF((C494+D494=0),"",C494+D494)</f>
        <v>654</v>
      </c>
      <c r="F494" s="173"/>
      <c r="G494" s="173" t="s">
        <v>574</v>
      </c>
      <c r="H494" s="173"/>
      <c r="I494" s="211">
        <f t="shared" si="53"/>
        <v>0</v>
      </c>
      <c r="J494" s="211">
        <f t="shared" si="54"/>
        <v>0</v>
      </c>
      <c r="K494" s="401">
        <f t="shared" si="56"/>
        <v>0</v>
      </c>
      <c r="L494" s="173" t="s">
        <v>570</v>
      </c>
    </row>
    <row r="495" spans="1:12" ht="12.75">
      <c r="A495" s="351"/>
      <c r="B495" s="361" t="s">
        <v>1061</v>
      </c>
      <c r="C495" s="384">
        <v>13.6</v>
      </c>
      <c r="D495" s="384">
        <v>74.75</v>
      </c>
      <c r="E495" s="384">
        <f>IF((C495+D495=0),"",C495+D495)</f>
        <v>88.35</v>
      </c>
      <c r="F495" s="173"/>
      <c r="G495" s="173" t="s">
        <v>574</v>
      </c>
      <c r="H495" s="173"/>
      <c r="I495" s="211">
        <f t="shared" si="53"/>
        <v>0</v>
      </c>
      <c r="J495" s="211">
        <f t="shared" si="54"/>
        <v>0</v>
      </c>
      <c r="K495" s="401">
        <f t="shared" si="56"/>
        <v>0</v>
      </c>
      <c r="L495" s="173" t="s">
        <v>570</v>
      </c>
    </row>
    <row r="496" spans="1:12" ht="12.75">
      <c r="A496" s="351"/>
      <c r="B496" s="361" t="s">
        <v>310</v>
      </c>
      <c r="C496" s="384">
        <v>0</v>
      </c>
      <c r="D496" s="384">
        <f>183.4-0.05</f>
        <v>183.35</v>
      </c>
      <c r="E496" s="384">
        <f>IF((C496+D496=0),"",C496+D496)</f>
        <v>183.35</v>
      </c>
      <c r="F496" s="173"/>
      <c r="G496" s="173" t="s">
        <v>574</v>
      </c>
      <c r="H496" s="173"/>
      <c r="I496" s="211">
        <f t="shared" si="53"/>
        <v>0</v>
      </c>
      <c r="J496" s="211">
        <f t="shared" si="54"/>
        <v>0</v>
      </c>
      <c r="K496" s="401">
        <f t="shared" si="56"/>
        <v>0</v>
      </c>
      <c r="L496" s="173" t="s">
        <v>570</v>
      </c>
    </row>
    <row r="497" spans="1:12" ht="12.75">
      <c r="A497" s="351"/>
      <c r="B497" s="361" t="s">
        <v>309</v>
      </c>
      <c r="C497" s="384">
        <v>0</v>
      </c>
      <c r="D497" s="387">
        <v>15</v>
      </c>
      <c r="E497" s="384">
        <f>IF((C497+D497=0),"",C497+D497)</f>
        <v>15</v>
      </c>
      <c r="F497" s="173"/>
      <c r="G497" s="173" t="s">
        <v>404</v>
      </c>
      <c r="H497" s="173"/>
      <c r="I497" s="211">
        <f t="shared" si="53"/>
        <v>0</v>
      </c>
      <c r="J497" s="211">
        <f t="shared" si="54"/>
        <v>0</v>
      </c>
      <c r="K497" s="401">
        <f t="shared" si="56"/>
        <v>0</v>
      </c>
      <c r="L497" s="173" t="s">
        <v>570</v>
      </c>
    </row>
    <row r="498" spans="1:12" ht="12.75">
      <c r="A498" s="339"/>
      <c r="B498" s="361" t="s">
        <v>389</v>
      </c>
      <c r="C498" s="381">
        <f>SUM(C453:C496)</f>
        <v>9379.810000000003</v>
      </c>
      <c r="D498" s="381">
        <f>SUM(D453:D496)</f>
        <v>7363.120000000001</v>
      </c>
      <c r="E498" s="381">
        <f>SUM(E453:E497)</f>
        <v>16757.93</v>
      </c>
      <c r="F498" s="173"/>
      <c r="G498" s="173"/>
      <c r="H498" s="436"/>
      <c r="I498" s="437"/>
      <c r="J498" s="437"/>
      <c r="K498" s="438">
        <f>SUM(K453:K497)</f>
        <v>15480.779999999999</v>
      </c>
      <c r="L498" s="436"/>
    </row>
    <row r="499" spans="1:11" ht="12.75">
      <c r="A499" s="339"/>
      <c r="B499" s="172"/>
      <c r="C499" s="342"/>
      <c r="D499" s="342"/>
      <c r="E499" s="342"/>
      <c r="F499" s="173"/>
      <c r="G499" s="173"/>
      <c r="I499" s="211"/>
      <c r="J499" s="211"/>
      <c r="K499" s="401"/>
    </row>
    <row r="500" spans="1:11" ht="12.75">
      <c r="A500" s="339" t="s">
        <v>575</v>
      </c>
      <c r="B500" s="172"/>
      <c r="C500" s="342"/>
      <c r="D500" s="338"/>
      <c r="E500" s="338"/>
      <c r="F500" s="173"/>
      <c r="G500" s="173"/>
      <c r="H500" s="173"/>
      <c r="I500" s="211"/>
      <c r="J500" s="211"/>
      <c r="K500" s="401"/>
    </row>
    <row r="501" spans="1:12" ht="12.75">
      <c r="A501" s="351"/>
      <c r="B501" s="361" t="s">
        <v>312</v>
      </c>
      <c r="C501" s="381">
        <v>50</v>
      </c>
      <c r="D501" s="381">
        <f>132.55-1.15</f>
        <v>131.4</v>
      </c>
      <c r="E501" s="385">
        <f>IF((C501+D501=0),"",C501+D501)</f>
        <v>181.4</v>
      </c>
      <c r="F501" s="173"/>
      <c r="G501" s="173" t="s">
        <v>576</v>
      </c>
      <c r="H501" s="173" t="s">
        <v>576</v>
      </c>
      <c r="I501" s="211">
        <f>SUMIF($G$9:$G$647,H501,$C$9:$C$647)</f>
        <v>50</v>
      </c>
      <c r="J501" s="211">
        <f>SUMIF($G$9:$G$647,H501,$D$9:$D$647)</f>
        <v>131.4</v>
      </c>
      <c r="K501" s="401">
        <f t="shared" si="56"/>
        <v>181.4</v>
      </c>
      <c r="L501" s="173" t="s">
        <v>576</v>
      </c>
    </row>
    <row r="502" spans="1:12" ht="12.75">
      <c r="A502" s="339"/>
      <c r="B502" s="361" t="s">
        <v>389</v>
      </c>
      <c r="C502" s="420">
        <f>SUM(C501)</f>
        <v>50</v>
      </c>
      <c r="D502" s="420">
        <f>SUM(D501)</f>
        <v>131.4</v>
      </c>
      <c r="E502" s="420">
        <f>SUM(E501)</f>
        <v>181.4</v>
      </c>
      <c r="F502" s="173"/>
      <c r="G502" s="173"/>
      <c r="H502" s="436"/>
      <c r="I502" s="437"/>
      <c r="J502" s="437"/>
      <c r="K502" s="438">
        <f t="shared" si="56"/>
        <v>0</v>
      </c>
      <c r="L502" s="436"/>
    </row>
    <row r="503" spans="1:12" ht="12.75">
      <c r="A503" s="339"/>
      <c r="B503" s="172"/>
      <c r="C503" s="342"/>
      <c r="D503" s="342"/>
      <c r="E503" s="342"/>
      <c r="F503" s="173"/>
      <c r="G503" s="173"/>
      <c r="H503" s="173"/>
      <c r="I503" s="211"/>
      <c r="J503" s="211"/>
      <c r="K503" s="401"/>
      <c r="L503" s="173"/>
    </row>
    <row r="504" spans="1:12" ht="12.75">
      <c r="A504" s="339" t="s">
        <v>577</v>
      </c>
      <c r="B504" s="172"/>
      <c r="C504" s="342"/>
      <c r="D504" s="338"/>
      <c r="E504" s="338"/>
      <c r="F504" s="173"/>
      <c r="G504" s="173"/>
      <c r="H504" s="173"/>
      <c r="I504" s="211"/>
      <c r="J504" s="211"/>
      <c r="K504" s="401"/>
      <c r="L504" s="173"/>
    </row>
    <row r="505" spans="1:12" ht="12.75">
      <c r="A505" s="351"/>
      <c r="B505" s="361" t="s">
        <v>313</v>
      </c>
      <c r="C505" s="381">
        <f>382.95-0.4</f>
        <v>382.55</v>
      </c>
      <c r="D505" s="381"/>
      <c r="E505" s="385">
        <f>IF((C505+D505=0),"",C505+D505)</f>
        <v>382.55</v>
      </c>
      <c r="F505" s="173"/>
      <c r="G505" s="173" t="s">
        <v>578</v>
      </c>
      <c r="H505" s="173" t="s">
        <v>578</v>
      </c>
      <c r="I505" s="211">
        <f>SUMIF($G$9:$G$647,H505,$C$9:$C$647)</f>
        <v>412.55</v>
      </c>
      <c r="J505" s="211">
        <f>SUMIF($G$9:$G$647,H505,$D$9:$D$647)</f>
        <v>261.7</v>
      </c>
      <c r="K505" s="401">
        <f>SUM(I505:J505)</f>
        <v>674.25</v>
      </c>
      <c r="L505" s="173" t="s">
        <v>578</v>
      </c>
    </row>
    <row r="506" spans="1:12" ht="12.75">
      <c r="A506" s="351"/>
      <c r="B506" s="361" t="s">
        <v>314</v>
      </c>
      <c r="C506" s="381"/>
      <c r="D506" s="381">
        <v>231.5</v>
      </c>
      <c r="E506" s="385">
        <f>IF((C506+D506=0),"",C506+D506)</f>
        <v>231.5</v>
      </c>
      <c r="F506" s="173"/>
      <c r="G506" s="173" t="s">
        <v>578</v>
      </c>
      <c r="H506" s="173"/>
      <c r="I506" s="211">
        <f>SUMIF($G$9:$G$647,H506,$C$9:$C$647)</f>
        <v>0</v>
      </c>
      <c r="J506" s="211">
        <f>SUMIF($G$9:$G$647,H506,$D$9:$D$647)</f>
        <v>0</v>
      </c>
      <c r="K506" s="401">
        <f>SUM(I506:J506)</f>
        <v>0</v>
      </c>
      <c r="L506" s="173" t="s">
        <v>578</v>
      </c>
    </row>
    <row r="507" spans="1:12" ht="12.75">
      <c r="A507" s="351"/>
      <c r="B507" s="361" t="s">
        <v>1062</v>
      </c>
      <c r="C507" s="381">
        <v>30</v>
      </c>
      <c r="D507" s="381">
        <v>30.2</v>
      </c>
      <c r="E507" s="385">
        <f>IF((C507+D507=0),"",C507+D507)</f>
        <v>60.2</v>
      </c>
      <c r="F507" s="173"/>
      <c r="G507" s="173" t="s">
        <v>578</v>
      </c>
      <c r="H507" s="173"/>
      <c r="I507" s="211">
        <f>SUMIF($G$9:$G$647,H507,$C$9:$C$647)</f>
        <v>0</v>
      </c>
      <c r="J507" s="211">
        <f>SUMIF($G$9:$G$647,H507,$D$9:$D$647)</f>
        <v>0</v>
      </c>
      <c r="K507" s="401">
        <f>SUM(I507:J507)</f>
        <v>0</v>
      </c>
      <c r="L507" s="173" t="s">
        <v>578</v>
      </c>
    </row>
    <row r="508" spans="1:12" ht="12.75">
      <c r="A508" s="351"/>
      <c r="B508" s="361" t="s">
        <v>315</v>
      </c>
      <c r="C508" s="381"/>
      <c r="D508" s="385">
        <v>14</v>
      </c>
      <c r="E508" s="385">
        <f>IF((C508+D508=0),"",C508+D508)</f>
        <v>14</v>
      </c>
      <c r="F508" s="173"/>
      <c r="G508" s="173" t="s">
        <v>404</v>
      </c>
      <c r="H508" s="173"/>
      <c r="I508" s="211">
        <f>SUMIF($G$9:$G$647,H508,$C$9:$C$647)</f>
        <v>0</v>
      </c>
      <c r="J508" s="211">
        <f>SUMIF($G$9:$G$647,H508,$D$9:$D$647)</f>
        <v>0</v>
      </c>
      <c r="K508" s="401">
        <f>SUM(I508:J508)</f>
        <v>0</v>
      </c>
      <c r="L508" s="173" t="s">
        <v>578</v>
      </c>
    </row>
    <row r="509" spans="1:12" ht="12.75">
      <c r="A509" s="339"/>
      <c r="B509" s="361" t="s">
        <v>389</v>
      </c>
      <c r="C509" s="381">
        <f>SUM(C505:C508)</f>
        <v>412.55</v>
      </c>
      <c r="D509" s="381">
        <f>SUM(D505:D508)</f>
        <v>275.7</v>
      </c>
      <c r="E509" s="381">
        <f>SUM(E505:E508)</f>
        <v>688.25</v>
      </c>
      <c r="F509" s="173"/>
      <c r="G509" s="173"/>
      <c r="H509" s="436"/>
      <c r="I509" s="437"/>
      <c r="J509" s="437"/>
      <c r="K509" s="438">
        <f>SUM(K505:K508)</f>
        <v>674.25</v>
      </c>
      <c r="L509" s="436"/>
    </row>
    <row r="510" spans="1:11" ht="12.75">
      <c r="A510" s="339"/>
      <c r="B510" s="172"/>
      <c r="C510" s="342"/>
      <c r="D510" s="342"/>
      <c r="E510" s="342"/>
      <c r="F510" s="173"/>
      <c r="G510" s="173"/>
      <c r="I510" s="211"/>
      <c r="J510" s="211"/>
      <c r="K510" s="401"/>
    </row>
    <row r="511" spans="1:11" ht="12.75">
      <c r="A511" s="417" t="s">
        <v>579</v>
      </c>
      <c r="B511" s="418"/>
      <c r="C511" s="342"/>
      <c r="D511" s="338"/>
      <c r="E511" s="338"/>
      <c r="F511" s="173"/>
      <c r="G511" s="173"/>
      <c r="H511" s="173"/>
      <c r="I511" s="211"/>
      <c r="J511" s="211"/>
      <c r="K511" s="401"/>
    </row>
    <row r="512" spans="1:13" ht="12.75">
      <c r="A512" s="351"/>
      <c r="B512" s="361" t="s">
        <v>316</v>
      </c>
      <c r="C512" s="459">
        <v>80.75</v>
      </c>
      <c r="D512" s="381">
        <v>66.5</v>
      </c>
      <c r="E512" s="385">
        <f aca="true" t="shared" si="57" ref="E512:E521">IF((C512+D512=0),"",C512+D512)</f>
        <v>147.25</v>
      </c>
      <c r="F512" s="173"/>
      <c r="G512" s="173" t="s">
        <v>580</v>
      </c>
      <c r="H512" s="173" t="s">
        <v>586</v>
      </c>
      <c r="I512" s="211">
        <f aca="true" t="shared" si="58" ref="I512:I522">SUMIF($G$9:$G$647,H512,$C$9:$C$647)</f>
        <v>52.05</v>
      </c>
      <c r="J512" s="211">
        <f aca="true" t="shared" si="59" ref="J512:J522">SUMIF($G$9:$G$647,H512,$D$9:$D$647)</f>
        <v>31.65</v>
      </c>
      <c r="K512" s="401">
        <f aca="true" t="shared" si="60" ref="K512:K522">SUM(I512:J512)</f>
        <v>83.69999999999999</v>
      </c>
      <c r="L512" s="173" t="s">
        <v>581</v>
      </c>
      <c r="M512" s="419"/>
    </row>
    <row r="513" spans="1:12" ht="12.75">
      <c r="A513" s="351"/>
      <c r="B513" s="361" t="s">
        <v>317</v>
      </c>
      <c r="C513" s="381">
        <v>0</v>
      </c>
      <c r="D513" s="381">
        <f>222.95-0.25</f>
        <v>222.7</v>
      </c>
      <c r="E513" s="385">
        <f t="shared" si="57"/>
        <v>222.7</v>
      </c>
      <c r="F513" s="173"/>
      <c r="G513" s="173" t="s">
        <v>1295</v>
      </c>
      <c r="H513" s="173" t="s">
        <v>584</v>
      </c>
      <c r="I513" s="211">
        <f t="shared" si="58"/>
        <v>39.7</v>
      </c>
      <c r="J513" s="211">
        <f t="shared" si="59"/>
        <v>27.5</v>
      </c>
      <c r="K513" s="401">
        <f t="shared" si="60"/>
        <v>67.2</v>
      </c>
      <c r="L513" s="173" t="s">
        <v>581</v>
      </c>
    </row>
    <row r="514" spans="1:12" ht="12.75">
      <c r="A514" s="351"/>
      <c r="B514" s="361" t="s">
        <v>1150</v>
      </c>
      <c r="C514" s="381">
        <v>57</v>
      </c>
      <c r="D514" s="381">
        <v>36.3</v>
      </c>
      <c r="E514" s="385">
        <f t="shared" si="57"/>
        <v>93.3</v>
      </c>
      <c r="F514" s="173"/>
      <c r="G514" s="173" t="s">
        <v>582</v>
      </c>
      <c r="H514" s="173" t="s">
        <v>1295</v>
      </c>
      <c r="I514" s="211">
        <f t="shared" si="58"/>
        <v>612.2</v>
      </c>
      <c r="J514" s="211">
        <f t="shared" si="59"/>
        <v>425.11</v>
      </c>
      <c r="K514" s="401">
        <f t="shared" si="60"/>
        <v>1037.31</v>
      </c>
      <c r="L514" s="173" t="s">
        <v>581</v>
      </c>
    </row>
    <row r="515" spans="1:12" ht="12.75">
      <c r="A515" s="351"/>
      <c r="B515" s="361" t="s">
        <v>318</v>
      </c>
      <c r="C515" s="381">
        <v>82</v>
      </c>
      <c r="D515" s="381">
        <v>175.8</v>
      </c>
      <c r="E515" s="385">
        <f t="shared" si="57"/>
        <v>257.8</v>
      </c>
      <c r="F515" s="173"/>
      <c r="G515" s="173" t="s">
        <v>1295</v>
      </c>
      <c r="H515" s="173" t="s">
        <v>583</v>
      </c>
      <c r="I515" s="211">
        <f t="shared" si="58"/>
        <v>32.6</v>
      </c>
      <c r="J515" s="211">
        <f t="shared" si="59"/>
        <v>25</v>
      </c>
      <c r="K515" s="401">
        <f t="shared" si="60"/>
        <v>57.6</v>
      </c>
      <c r="L515" s="173" t="s">
        <v>581</v>
      </c>
    </row>
    <row r="516" spans="1:12" ht="12.75">
      <c r="A516" s="351"/>
      <c r="B516" s="361" t="s">
        <v>319</v>
      </c>
      <c r="C516" s="381">
        <f>530.45-0.25</f>
        <v>530.2</v>
      </c>
      <c r="D516" s="381">
        <v>0</v>
      </c>
      <c r="E516" s="385">
        <f t="shared" si="57"/>
        <v>530.2</v>
      </c>
      <c r="F516" s="173"/>
      <c r="G516" s="173" t="s">
        <v>1295</v>
      </c>
      <c r="H516" s="173" t="s">
        <v>585</v>
      </c>
      <c r="I516" s="211">
        <f t="shared" si="58"/>
        <v>94.4</v>
      </c>
      <c r="J516" s="211">
        <f t="shared" si="59"/>
        <v>43.8</v>
      </c>
      <c r="K516" s="401">
        <f t="shared" si="60"/>
        <v>138.2</v>
      </c>
      <c r="L516" s="173" t="s">
        <v>581</v>
      </c>
    </row>
    <row r="517" spans="1:12" ht="12.75">
      <c r="A517" s="351"/>
      <c r="B517" s="361" t="s">
        <v>1151</v>
      </c>
      <c r="C517" s="381">
        <v>32.6</v>
      </c>
      <c r="D517" s="381">
        <v>25</v>
      </c>
      <c r="E517" s="385">
        <f t="shared" si="57"/>
        <v>57.6</v>
      </c>
      <c r="F517" s="173"/>
      <c r="G517" s="173" t="s">
        <v>583</v>
      </c>
      <c r="H517" s="173" t="s">
        <v>587</v>
      </c>
      <c r="I517" s="211">
        <f t="shared" si="58"/>
        <v>136.65</v>
      </c>
      <c r="J517" s="211">
        <f t="shared" si="59"/>
        <v>90.85000000000001</v>
      </c>
      <c r="K517" s="401">
        <f t="shared" si="60"/>
        <v>227.5</v>
      </c>
      <c r="L517" s="173" t="s">
        <v>581</v>
      </c>
    </row>
    <row r="518" spans="1:12" ht="12.75">
      <c r="A518" s="351"/>
      <c r="B518" s="361" t="s">
        <v>1152</v>
      </c>
      <c r="C518" s="381">
        <v>39.7</v>
      </c>
      <c r="D518" s="381">
        <v>27.5</v>
      </c>
      <c r="E518" s="385">
        <f t="shared" si="57"/>
        <v>67.2</v>
      </c>
      <c r="F518" s="173"/>
      <c r="G518" s="173" t="s">
        <v>584</v>
      </c>
      <c r="H518" s="173" t="s">
        <v>582</v>
      </c>
      <c r="I518" s="211">
        <f t="shared" si="58"/>
        <v>57</v>
      </c>
      <c r="J518" s="211">
        <f t="shared" si="59"/>
        <v>36.3</v>
      </c>
      <c r="K518" s="401">
        <f t="shared" si="60"/>
        <v>93.3</v>
      </c>
      <c r="L518" s="173" t="s">
        <v>581</v>
      </c>
    </row>
    <row r="519" spans="1:12" ht="12.75">
      <c r="A519" s="351"/>
      <c r="B519" s="361" t="s">
        <v>320</v>
      </c>
      <c r="C519" s="381">
        <v>94.4</v>
      </c>
      <c r="D519" s="381">
        <v>43.8</v>
      </c>
      <c r="E519" s="385">
        <f t="shared" si="57"/>
        <v>138.2</v>
      </c>
      <c r="F519" s="173"/>
      <c r="G519" s="173" t="s">
        <v>585</v>
      </c>
      <c r="H519" s="173" t="s">
        <v>580</v>
      </c>
      <c r="I519" s="211">
        <f t="shared" si="58"/>
        <v>80.75</v>
      </c>
      <c r="J519" s="211">
        <f t="shared" si="59"/>
        <v>66.5</v>
      </c>
      <c r="K519" s="401">
        <f t="shared" si="60"/>
        <v>147.25</v>
      </c>
      <c r="L519" s="173" t="s">
        <v>581</v>
      </c>
    </row>
    <row r="520" spans="1:12" ht="12.75">
      <c r="A520" s="351"/>
      <c r="B520" s="361" t="s">
        <v>1153</v>
      </c>
      <c r="C520" s="381">
        <v>52.05</v>
      </c>
      <c r="D520" s="381">
        <v>31.65</v>
      </c>
      <c r="E520" s="385">
        <f t="shared" si="57"/>
        <v>83.69999999999999</v>
      </c>
      <c r="F520" s="173"/>
      <c r="G520" s="173" t="s">
        <v>586</v>
      </c>
      <c r="H520" s="173"/>
      <c r="I520" s="211">
        <f t="shared" si="58"/>
        <v>0</v>
      </c>
      <c r="J520" s="211">
        <f t="shared" si="59"/>
        <v>0</v>
      </c>
      <c r="K520" s="401">
        <f t="shared" si="60"/>
        <v>0</v>
      </c>
      <c r="L520" s="173" t="s">
        <v>581</v>
      </c>
    </row>
    <row r="521" spans="1:12" ht="12.75">
      <c r="A521" s="351"/>
      <c r="B521" s="361" t="s">
        <v>1154</v>
      </c>
      <c r="C521" s="381">
        <v>136.65</v>
      </c>
      <c r="D521" s="381">
        <f>90.95-0.1</f>
        <v>90.85000000000001</v>
      </c>
      <c r="E521" s="385">
        <f t="shared" si="57"/>
        <v>227.5</v>
      </c>
      <c r="F521" s="173"/>
      <c r="G521" s="173" t="s">
        <v>587</v>
      </c>
      <c r="H521" s="173"/>
      <c r="I521" s="211">
        <f t="shared" si="58"/>
        <v>0</v>
      </c>
      <c r="J521" s="211">
        <f t="shared" si="59"/>
        <v>0</v>
      </c>
      <c r="K521" s="401">
        <f t="shared" si="60"/>
        <v>0</v>
      </c>
      <c r="L521" s="173" t="s">
        <v>581</v>
      </c>
    </row>
    <row r="522" spans="1:12" ht="12.75">
      <c r="A522" s="351"/>
      <c r="B522" s="361" t="s">
        <v>321</v>
      </c>
      <c r="C522" s="381">
        <v>0</v>
      </c>
      <c r="D522" s="381">
        <f>27.11-0.5</f>
        <v>26.61</v>
      </c>
      <c r="E522" s="385">
        <f>IF((C522+D522=0),"",C522+D522)</f>
        <v>26.61</v>
      </c>
      <c r="F522" s="173"/>
      <c r="G522" s="173" t="s">
        <v>1295</v>
      </c>
      <c r="H522" s="173"/>
      <c r="I522" s="211">
        <f t="shared" si="58"/>
        <v>0</v>
      </c>
      <c r="J522" s="211">
        <f t="shared" si="59"/>
        <v>0</v>
      </c>
      <c r="K522" s="401">
        <f t="shared" si="60"/>
        <v>0</v>
      </c>
      <c r="L522" s="173" t="s">
        <v>581</v>
      </c>
    </row>
    <row r="523" spans="1:12" ht="12.75">
      <c r="A523" s="339"/>
      <c r="B523" s="361" t="s">
        <v>389</v>
      </c>
      <c r="C523" s="381">
        <f>SUM(C512:C522)</f>
        <v>1105.3500000000001</v>
      </c>
      <c r="D523" s="381">
        <f>SUM(D512:D522)</f>
        <v>746.7099999999999</v>
      </c>
      <c r="E523" s="381">
        <f>SUM(E512:E522)</f>
        <v>1852.06</v>
      </c>
      <c r="F523" s="173"/>
      <c r="G523" s="173"/>
      <c r="H523" s="436"/>
      <c r="I523" s="437"/>
      <c r="J523" s="437"/>
      <c r="K523" s="438">
        <f>SUM(K512:K522)</f>
        <v>1852.06</v>
      </c>
      <c r="L523" s="436"/>
    </row>
    <row r="524" spans="1:11" ht="12.75">
      <c r="A524" s="339"/>
      <c r="B524" s="172"/>
      <c r="C524" s="342"/>
      <c r="D524" s="342"/>
      <c r="E524" s="342"/>
      <c r="F524" s="173"/>
      <c r="G524" s="173"/>
      <c r="H524" s="173"/>
      <c r="I524" s="211"/>
      <c r="J524" s="211"/>
      <c r="K524" s="401"/>
    </row>
    <row r="525" spans="1:11" ht="12.75">
      <c r="A525" s="339" t="s">
        <v>588</v>
      </c>
      <c r="B525" s="172"/>
      <c r="C525" s="342"/>
      <c r="D525" s="338"/>
      <c r="E525" s="338"/>
      <c r="F525" s="173"/>
      <c r="G525" s="173"/>
      <c r="H525" s="173"/>
      <c r="I525" s="211"/>
      <c r="J525" s="211"/>
      <c r="K525" s="401"/>
    </row>
    <row r="526" spans="1:12" ht="12.75">
      <c r="A526" s="351"/>
      <c r="B526" s="361" t="s">
        <v>322</v>
      </c>
      <c r="C526" s="381">
        <v>42</v>
      </c>
      <c r="D526" s="381">
        <v>22.75</v>
      </c>
      <c r="E526" s="385">
        <f aca="true" t="shared" si="61" ref="E526:E537">IF((C526+D526=0),"",C526+D526)</f>
        <v>64.75</v>
      </c>
      <c r="F526" s="173"/>
      <c r="G526" s="173" t="s">
        <v>589</v>
      </c>
      <c r="H526" s="173" t="s">
        <v>589</v>
      </c>
      <c r="I526" s="211">
        <f aca="true" t="shared" si="62" ref="I526:I537">SUMIF($G$9:$G$647,H526,$C$9:$C$647)</f>
        <v>42</v>
      </c>
      <c r="J526" s="211">
        <f aca="true" t="shared" si="63" ref="J526:J537">SUMIF($G$9:$G$647,H526,$D$9:$D$647)</f>
        <v>22.75</v>
      </c>
      <c r="K526" s="401">
        <f aca="true" t="shared" si="64" ref="K526:K537">SUM(I526:J526)</f>
        <v>64.75</v>
      </c>
      <c r="L526" s="173" t="s">
        <v>591</v>
      </c>
    </row>
    <row r="527" spans="1:12" ht="12.75">
      <c r="A527" s="351"/>
      <c r="B527" s="361" t="s">
        <v>323</v>
      </c>
      <c r="C527" s="381">
        <v>112.1</v>
      </c>
      <c r="D527" s="381">
        <v>73.04</v>
      </c>
      <c r="E527" s="385">
        <f t="shared" si="61"/>
        <v>185.14</v>
      </c>
      <c r="F527" s="173"/>
      <c r="G527" s="173" t="s">
        <v>592</v>
      </c>
      <c r="H527" s="173" t="s">
        <v>593</v>
      </c>
      <c r="I527" s="211">
        <f t="shared" si="62"/>
        <v>116.55</v>
      </c>
      <c r="J527" s="211">
        <f t="shared" si="63"/>
        <v>69.55</v>
      </c>
      <c r="K527" s="401">
        <f t="shared" si="64"/>
        <v>186.1</v>
      </c>
      <c r="L527" s="173" t="s">
        <v>591</v>
      </c>
    </row>
    <row r="528" spans="1:12" ht="12.75">
      <c r="A528" s="351"/>
      <c r="B528" s="361" t="s">
        <v>324</v>
      </c>
      <c r="C528" s="381">
        <v>116.55</v>
      </c>
      <c r="D528" s="381">
        <v>69.55</v>
      </c>
      <c r="E528" s="385">
        <f t="shared" si="61"/>
        <v>186.1</v>
      </c>
      <c r="F528" s="173"/>
      <c r="G528" s="173" t="s">
        <v>593</v>
      </c>
      <c r="H528" s="173" t="s">
        <v>594</v>
      </c>
      <c r="I528" s="211">
        <f t="shared" si="62"/>
        <v>30.25</v>
      </c>
      <c r="J528" s="211">
        <f t="shared" si="63"/>
        <v>10</v>
      </c>
      <c r="K528" s="401">
        <f t="shared" si="64"/>
        <v>40.25</v>
      </c>
      <c r="L528" s="173" t="s">
        <v>591</v>
      </c>
    </row>
    <row r="529" spans="1:12" ht="12.75">
      <c r="A529" s="351"/>
      <c r="B529" s="361" t="s">
        <v>325</v>
      </c>
      <c r="C529" s="381">
        <v>30.25</v>
      </c>
      <c r="D529" s="381">
        <v>10</v>
      </c>
      <c r="E529" s="385">
        <f t="shared" si="61"/>
        <v>40.25</v>
      </c>
      <c r="F529" s="173"/>
      <c r="G529" s="173" t="s">
        <v>594</v>
      </c>
      <c r="H529" s="173" t="s">
        <v>595</v>
      </c>
      <c r="I529" s="211">
        <f t="shared" si="62"/>
        <v>72.75</v>
      </c>
      <c r="J529" s="211">
        <f t="shared" si="63"/>
        <v>53.63</v>
      </c>
      <c r="K529" s="401">
        <f t="shared" si="64"/>
        <v>126.38</v>
      </c>
      <c r="L529" s="173" t="s">
        <v>591</v>
      </c>
    </row>
    <row r="530" spans="1:12" ht="12.75">
      <c r="A530" s="351"/>
      <c r="B530" s="361" t="s">
        <v>326</v>
      </c>
      <c r="C530" s="381">
        <v>72.75</v>
      </c>
      <c r="D530" s="381">
        <v>53.63</v>
      </c>
      <c r="E530" s="385">
        <f t="shared" si="61"/>
        <v>126.38</v>
      </c>
      <c r="F530" s="173"/>
      <c r="G530" s="173" t="s">
        <v>595</v>
      </c>
      <c r="H530" s="173" t="s">
        <v>597</v>
      </c>
      <c r="I530" s="211">
        <f t="shared" si="62"/>
        <v>100.7</v>
      </c>
      <c r="J530" s="211">
        <f t="shared" si="63"/>
        <v>43.05</v>
      </c>
      <c r="K530" s="401">
        <f t="shared" si="64"/>
        <v>143.75</v>
      </c>
      <c r="L530" s="173" t="s">
        <v>591</v>
      </c>
    </row>
    <row r="531" spans="1:12" ht="12.75">
      <c r="A531" s="351"/>
      <c r="B531" s="361" t="s">
        <v>1063</v>
      </c>
      <c r="C531" s="381">
        <v>28.15</v>
      </c>
      <c r="D531" s="381">
        <v>11.65</v>
      </c>
      <c r="E531" s="385">
        <f t="shared" si="61"/>
        <v>39.8</v>
      </c>
      <c r="F531" s="173"/>
      <c r="G531" s="173" t="s">
        <v>596</v>
      </c>
      <c r="H531" s="173" t="s">
        <v>596</v>
      </c>
      <c r="I531" s="211">
        <f t="shared" si="62"/>
        <v>28.15</v>
      </c>
      <c r="J531" s="211">
        <f t="shared" si="63"/>
        <v>11.65</v>
      </c>
      <c r="K531" s="401">
        <f t="shared" si="64"/>
        <v>39.8</v>
      </c>
      <c r="L531" s="173" t="s">
        <v>591</v>
      </c>
    </row>
    <row r="532" spans="1:12" ht="12.75">
      <c r="A532" s="351"/>
      <c r="B532" s="361" t="s">
        <v>327</v>
      </c>
      <c r="C532" s="381">
        <f>347.65-0.1</f>
        <v>347.54999999999995</v>
      </c>
      <c r="D532" s="381">
        <v>0</v>
      </c>
      <c r="E532" s="385">
        <f t="shared" si="61"/>
        <v>347.54999999999995</v>
      </c>
      <c r="F532" s="173"/>
      <c r="G532" s="173" t="s">
        <v>590</v>
      </c>
      <c r="H532" s="173" t="s">
        <v>590</v>
      </c>
      <c r="I532" s="211">
        <f t="shared" si="62"/>
        <v>399.84999999999997</v>
      </c>
      <c r="J532" s="211">
        <f t="shared" si="63"/>
        <v>272.45</v>
      </c>
      <c r="K532" s="401">
        <f t="shared" si="64"/>
        <v>672.3</v>
      </c>
      <c r="L532" s="173" t="s">
        <v>591</v>
      </c>
    </row>
    <row r="533" spans="1:12" ht="12.75">
      <c r="A533" s="351"/>
      <c r="B533" s="361" t="s">
        <v>328</v>
      </c>
      <c r="C533" s="381">
        <f>52.6-0.3</f>
        <v>52.300000000000004</v>
      </c>
      <c r="D533" s="381">
        <f>273.45-1</f>
        <v>272.45</v>
      </c>
      <c r="E533" s="385">
        <f t="shared" si="61"/>
        <v>324.75</v>
      </c>
      <c r="F533" s="173"/>
      <c r="G533" s="173" t="s">
        <v>590</v>
      </c>
      <c r="H533" s="173" t="s">
        <v>598</v>
      </c>
      <c r="I533" s="211">
        <f t="shared" si="62"/>
        <v>107</v>
      </c>
      <c r="J533" s="211">
        <f t="shared" si="63"/>
        <v>72.5</v>
      </c>
      <c r="K533" s="401">
        <f t="shared" si="64"/>
        <v>179.5</v>
      </c>
      <c r="L533" s="173" t="s">
        <v>591</v>
      </c>
    </row>
    <row r="534" spans="1:12" ht="12.75">
      <c r="A534" s="351"/>
      <c r="B534" s="361" t="s">
        <v>1155</v>
      </c>
      <c r="C534" s="381">
        <v>100.7</v>
      </c>
      <c r="D534" s="381">
        <v>43.05</v>
      </c>
      <c r="E534" s="385">
        <f t="shared" si="61"/>
        <v>143.75</v>
      </c>
      <c r="F534" s="173"/>
      <c r="G534" s="173" t="s">
        <v>597</v>
      </c>
      <c r="H534" s="173" t="s">
        <v>592</v>
      </c>
      <c r="I534" s="211">
        <f t="shared" si="62"/>
        <v>112.1</v>
      </c>
      <c r="J534" s="211">
        <f t="shared" si="63"/>
        <v>73.04</v>
      </c>
      <c r="K534" s="401">
        <f t="shared" si="64"/>
        <v>185.14</v>
      </c>
      <c r="L534" s="173" t="s">
        <v>591</v>
      </c>
    </row>
    <row r="535" spans="1:12" ht="12.75">
      <c r="A535" s="351"/>
      <c r="B535" s="361" t="s">
        <v>1156</v>
      </c>
      <c r="C535" s="381">
        <v>107</v>
      </c>
      <c r="D535" s="381">
        <v>72.5</v>
      </c>
      <c r="E535" s="385">
        <f t="shared" si="61"/>
        <v>179.5</v>
      </c>
      <c r="F535" s="173"/>
      <c r="G535" s="173" t="s">
        <v>598</v>
      </c>
      <c r="H535" s="173" t="s">
        <v>599</v>
      </c>
      <c r="I535" s="211">
        <f t="shared" si="62"/>
        <v>154.95</v>
      </c>
      <c r="J535" s="211">
        <f t="shared" si="63"/>
        <v>90.3</v>
      </c>
      <c r="K535" s="401">
        <f t="shared" si="64"/>
        <v>245.25</v>
      </c>
      <c r="L535" s="173" t="s">
        <v>591</v>
      </c>
    </row>
    <row r="536" spans="1:12" ht="12.75">
      <c r="A536" s="351"/>
      <c r="B536" s="361" t="s">
        <v>329</v>
      </c>
      <c r="C536" s="381">
        <v>154.95</v>
      </c>
      <c r="D536" s="381">
        <f>90.35-0.05</f>
        <v>90.3</v>
      </c>
      <c r="E536" s="385">
        <f t="shared" si="61"/>
        <v>245.25</v>
      </c>
      <c r="F536" s="173"/>
      <c r="G536" s="173" t="s">
        <v>599</v>
      </c>
      <c r="H536" s="173" t="s">
        <v>330</v>
      </c>
      <c r="I536" s="211">
        <f t="shared" si="62"/>
        <v>44.05</v>
      </c>
      <c r="J536" s="211">
        <f t="shared" si="63"/>
        <v>23.6</v>
      </c>
      <c r="K536" s="401">
        <f t="shared" si="64"/>
        <v>67.65</v>
      </c>
      <c r="L536" s="173" t="s">
        <v>591</v>
      </c>
    </row>
    <row r="537" spans="1:12" ht="12.75">
      <c r="A537" s="351"/>
      <c r="B537" s="361" t="s">
        <v>1157</v>
      </c>
      <c r="C537" s="381">
        <v>44.05</v>
      </c>
      <c r="D537" s="381">
        <v>23.6</v>
      </c>
      <c r="E537" s="385">
        <f t="shared" si="61"/>
        <v>67.65</v>
      </c>
      <c r="F537" s="173"/>
      <c r="G537" s="173" t="s">
        <v>330</v>
      </c>
      <c r="H537" s="173"/>
      <c r="I537" s="211">
        <f t="shared" si="62"/>
        <v>0</v>
      </c>
      <c r="J537" s="211">
        <f t="shared" si="63"/>
        <v>0</v>
      </c>
      <c r="K537" s="401">
        <f t="shared" si="64"/>
        <v>0</v>
      </c>
      <c r="L537" s="173" t="s">
        <v>591</v>
      </c>
    </row>
    <row r="538" spans="1:12" ht="12.75">
      <c r="A538" s="339"/>
      <c r="B538" s="361" t="s">
        <v>389</v>
      </c>
      <c r="C538" s="381">
        <f>SUM(C526:C537)</f>
        <v>1208.35</v>
      </c>
      <c r="D538" s="381">
        <f>SUM(D526:D537)</f>
        <v>742.5199999999999</v>
      </c>
      <c r="E538" s="381">
        <f>SUM(E526:E537)</f>
        <v>1950.87</v>
      </c>
      <c r="F538" s="173"/>
      <c r="G538" s="173"/>
      <c r="H538" s="436"/>
      <c r="I538" s="437"/>
      <c r="J538" s="437"/>
      <c r="K538" s="438">
        <f>SUM(K526:K537)</f>
        <v>1950.87</v>
      </c>
      <c r="L538" s="436"/>
    </row>
    <row r="539" spans="1:11" ht="12.75">
      <c r="A539" s="339"/>
      <c r="B539" s="172"/>
      <c r="C539" s="348"/>
      <c r="D539" s="348"/>
      <c r="E539" s="348"/>
      <c r="F539" s="173"/>
      <c r="G539" s="173"/>
      <c r="H539" s="173"/>
      <c r="I539" s="211"/>
      <c r="J539" s="211"/>
      <c r="K539" s="401"/>
    </row>
    <row r="540" spans="1:11" ht="12.75">
      <c r="A540" s="339" t="s">
        <v>600</v>
      </c>
      <c r="B540" s="172"/>
      <c r="C540" s="342"/>
      <c r="D540" s="338"/>
      <c r="E540" s="338"/>
      <c r="F540" s="173"/>
      <c r="G540" s="173"/>
      <c r="H540" s="173"/>
      <c r="I540" s="211"/>
      <c r="J540" s="211"/>
      <c r="K540" s="401"/>
    </row>
    <row r="541" spans="1:12" ht="12.75">
      <c r="A541" s="351"/>
      <c r="B541" s="361" t="s">
        <v>331</v>
      </c>
      <c r="C541" s="381">
        <v>6.5</v>
      </c>
      <c r="D541" s="381">
        <v>2.15</v>
      </c>
      <c r="E541" s="385">
        <f>IF((C541+D541=0),"",C541+D541)</f>
        <v>8.65</v>
      </c>
      <c r="F541" s="173"/>
      <c r="G541" s="173" t="s">
        <v>601</v>
      </c>
      <c r="H541" s="173" t="s">
        <v>601</v>
      </c>
      <c r="I541" s="211">
        <f>SUMIF($G$9:$G$647,H541,$C$9:$C$647)</f>
        <v>6.5</v>
      </c>
      <c r="J541" s="211">
        <f>SUMIF($G$9:$G$647,H541,$D$9:$D$647)</f>
        <v>2.15</v>
      </c>
      <c r="K541" s="401">
        <f>SUM(I541:J541)</f>
        <v>8.65</v>
      </c>
      <c r="L541" s="173" t="s">
        <v>601</v>
      </c>
    </row>
    <row r="542" spans="1:12" ht="12.75">
      <c r="A542" s="339"/>
      <c r="B542" s="361" t="s">
        <v>389</v>
      </c>
      <c r="C542" s="381">
        <f>SUM(C541)</f>
        <v>6.5</v>
      </c>
      <c r="D542" s="381">
        <f>SUM(D541)</f>
        <v>2.15</v>
      </c>
      <c r="E542" s="381">
        <f>SUM(E541)</f>
        <v>8.65</v>
      </c>
      <c r="F542" s="173"/>
      <c r="G542" s="173"/>
      <c r="H542" s="436"/>
      <c r="I542" s="437"/>
      <c r="J542" s="437"/>
      <c r="K542" s="438">
        <f>SUM(K541)</f>
        <v>8.65</v>
      </c>
      <c r="L542" s="436"/>
    </row>
    <row r="543" spans="1:11" ht="12.75">
      <c r="A543" s="339"/>
      <c r="B543" s="172"/>
      <c r="C543" s="342"/>
      <c r="D543" s="342"/>
      <c r="E543" s="342"/>
      <c r="F543" s="173"/>
      <c r="G543" s="173"/>
      <c r="H543" s="173"/>
      <c r="I543" s="211"/>
      <c r="J543" s="211"/>
      <c r="K543" s="401"/>
    </row>
    <row r="544" spans="1:12" ht="12.75">
      <c r="A544" s="339" t="s">
        <v>602</v>
      </c>
      <c r="B544" s="172"/>
      <c r="C544" s="342"/>
      <c r="D544" s="338"/>
      <c r="E544" s="338"/>
      <c r="F544" s="173"/>
      <c r="G544" s="173"/>
      <c r="H544" s="173"/>
      <c r="I544" s="211"/>
      <c r="J544" s="211"/>
      <c r="K544" s="401"/>
      <c r="L544" s="173"/>
    </row>
    <row r="545" spans="1:12" ht="12.75">
      <c r="A545" s="351"/>
      <c r="B545" s="361" t="s">
        <v>332</v>
      </c>
      <c r="C545" s="381">
        <v>226.85</v>
      </c>
      <c r="D545" s="381"/>
      <c r="E545" s="385">
        <f>IF((C545+D545=0),"",C545+D545)</f>
        <v>226.85</v>
      </c>
      <c r="F545" s="173"/>
      <c r="G545" s="173" t="s">
        <v>603</v>
      </c>
      <c r="H545" s="173" t="s">
        <v>603</v>
      </c>
      <c r="I545" s="211">
        <f>SUMIF($G$9:$G$647,H545,$C$9:$C$647)</f>
        <v>259.65</v>
      </c>
      <c r="J545" s="211">
        <f>SUMIF($G$9:$G$647,H545,$D$9:$D$647)</f>
        <v>205.75</v>
      </c>
      <c r="K545" s="401">
        <f>SUM(I545:J545)</f>
        <v>465.4</v>
      </c>
      <c r="L545" s="173" t="s">
        <v>603</v>
      </c>
    </row>
    <row r="546" spans="1:12" ht="12.75">
      <c r="A546" s="351"/>
      <c r="B546" s="361" t="s">
        <v>333</v>
      </c>
      <c r="C546" s="381"/>
      <c r="D546" s="381">
        <v>150.5</v>
      </c>
      <c r="E546" s="385">
        <f>IF((C546+D546=0),"",C546+D546)</f>
        <v>150.5</v>
      </c>
      <c r="F546" s="173"/>
      <c r="G546" s="173" t="s">
        <v>603</v>
      </c>
      <c r="H546" s="173"/>
      <c r="I546" s="211">
        <f>SUMIF($G$9:$G$647,H546,$C$9:$C$647)</f>
        <v>0</v>
      </c>
      <c r="J546" s="211">
        <f>SUMIF($G$9:$G$647,H546,$D$9:$D$647)</f>
        <v>0</v>
      </c>
      <c r="K546" s="401">
        <f>SUM(I546:J546)</f>
        <v>0</v>
      </c>
      <c r="L546" s="173" t="s">
        <v>603</v>
      </c>
    </row>
    <row r="547" spans="1:12" ht="12.75">
      <c r="A547" s="351"/>
      <c r="B547" s="361" t="s">
        <v>334</v>
      </c>
      <c r="C547" s="381">
        <v>32.8</v>
      </c>
      <c r="D547" s="381">
        <v>55.25</v>
      </c>
      <c r="E547" s="385">
        <f>IF((C547+D547=0),"",C547+D547)</f>
        <v>88.05</v>
      </c>
      <c r="F547" s="173"/>
      <c r="G547" s="173" t="s">
        <v>603</v>
      </c>
      <c r="H547" s="173"/>
      <c r="I547" s="211">
        <f>SUMIF($G$9:$G$647,H547,$C$9:$C$647)</f>
        <v>0</v>
      </c>
      <c r="J547" s="211">
        <f>SUMIF($G$9:$G$647,H547,$D$9:$D$647)</f>
        <v>0</v>
      </c>
      <c r="K547" s="401">
        <f>SUM(I547:J547)</f>
        <v>0</v>
      </c>
      <c r="L547" s="173" t="s">
        <v>603</v>
      </c>
    </row>
    <row r="548" spans="1:12" ht="12.75">
      <c r="A548" s="339"/>
      <c r="B548" s="361" t="s">
        <v>389</v>
      </c>
      <c r="C548" s="381">
        <f>SUM(C545:C547)</f>
        <v>259.65</v>
      </c>
      <c r="D548" s="381">
        <f>SUM(D545:D547)</f>
        <v>205.75</v>
      </c>
      <c r="E548" s="381">
        <f>SUM(E545:E547)</f>
        <v>465.40000000000003</v>
      </c>
      <c r="F548" s="173"/>
      <c r="G548" s="173"/>
      <c r="H548" s="436"/>
      <c r="I548" s="437"/>
      <c r="J548" s="437"/>
      <c r="K548" s="438">
        <f>SUM(K545:K547)</f>
        <v>465.4</v>
      </c>
      <c r="L548" s="436"/>
    </row>
    <row r="549" spans="1:12" ht="12.75">
      <c r="A549" s="339"/>
      <c r="B549" s="172"/>
      <c r="C549" s="342"/>
      <c r="D549" s="342"/>
      <c r="E549" s="342"/>
      <c r="F549" s="173"/>
      <c r="G549" s="173"/>
      <c r="H549" s="173"/>
      <c r="I549" s="211"/>
      <c r="J549" s="211"/>
      <c r="K549" s="401"/>
      <c r="L549" s="173"/>
    </row>
    <row r="550" spans="1:12" ht="12.75">
      <c r="A550" s="339" t="s">
        <v>604</v>
      </c>
      <c r="B550" s="172"/>
      <c r="C550" s="342"/>
      <c r="D550" s="338"/>
      <c r="E550" s="338"/>
      <c r="F550" s="173"/>
      <c r="G550" s="173"/>
      <c r="H550" s="173"/>
      <c r="I550" s="211">
        <f>SUMIF($G$9:$G$647,H550,$C$9:$C$647)</f>
        <v>0</v>
      </c>
      <c r="J550" s="211">
        <f>SUMIF($G$9:$G$647,H550,$D$9:$D$647)</f>
        <v>0</v>
      </c>
      <c r="K550" s="401"/>
      <c r="L550" s="173"/>
    </row>
    <row r="551" spans="1:12" ht="12.75">
      <c r="A551" s="351"/>
      <c r="B551" s="361" t="s">
        <v>1280</v>
      </c>
      <c r="C551" s="433">
        <v>0</v>
      </c>
      <c r="D551" s="433">
        <v>0</v>
      </c>
      <c r="E551" s="385">
        <f>IF((C551+D551=0),"",C551+D551)</f>
      </c>
      <c r="F551" s="173"/>
      <c r="G551" s="173" t="s">
        <v>605</v>
      </c>
      <c r="H551" s="204" t="s">
        <v>605</v>
      </c>
      <c r="I551" s="211">
        <f>SUMIF($G$9:$G$647,H551,$C$9:$C$647)</f>
        <v>0</v>
      </c>
      <c r="J551" s="211">
        <f>SUMIF($G$9:$G$647,H551,$D$9:$D$647)</f>
        <v>0</v>
      </c>
      <c r="K551" s="401">
        <f>SUM(I551:J551)</f>
        <v>0</v>
      </c>
      <c r="L551" s="173" t="s">
        <v>606</v>
      </c>
    </row>
    <row r="552" spans="1:12" ht="12.75">
      <c r="A552" s="351"/>
      <c r="B552" s="361" t="s">
        <v>336</v>
      </c>
      <c r="C552" s="433">
        <v>42</v>
      </c>
      <c r="D552" s="433">
        <v>10</v>
      </c>
      <c r="E552" s="385">
        <f>IF((C552+D552=0),"",C552+D552)</f>
        <v>52</v>
      </c>
      <c r="F552" s="173"/>
      <c r="G552" s="173" t="s">
        <v>607</v>
      </c>
      <c r="H552" s="173" t="s">
        <v>607</v>
      </c>
      <c r="I552" s="211">
        <f>SUMIF($G$9:$G$647,H552,$C$9:$C$647)</f>
        <v>42</v>
      </c>
      <c r="J552" s="211">
        <f>SUMIF($G$9:$G$647,H552,$D$9:$D$647)</f>
        <v>10</v>
      </c>
      <c r="K552" s="401">
        <f>SUM(I552:J552)</f>
        <v>52</v>
      </c>
      <c r="L552" s="173" t="s">
        <v>606</v>
      </c>
    </row>
    <row r="553" spans="1:12" ht="12.75">
      <c r="A553" s="339"/>
      <c r="B553" s="361" t="s">
        <v>389</v>
      </c>
      <c r="C553" s="381">
        <f>SUM(C551:C552)</f>
        <v>42</v>
      </c>
      <c r="D553" s="381">
        <f>SUM(D551:D552)</f>
        <v>10</v>
      </c>
      <c r="E553" s="381">
        <f>SUM(E551:E552)</f>
        <v>52</v>
      </c>
      <c r="F553" s="173"/>
      <c r="G553" s="173"/>
      <c r="H553" s="436"/>
      <c r="I553" s="437"/>
      <c r="J553" s="437"/>
      <c r="K553" s="438">
        <f>SUM(I553:J553)</f>
        <v>0</v>
      </c>
      <c r="L553" s="436"/>
    </row>
    <row r="554" spans="1:12" ht="12.75">
      <c r="A554" s="339"/>
      <c r="B554" s="172"/>
      <c r="C554" s="348"/>
      <c r="D554" s="348"/>
      <c r="E554" s="348"/>
      <c r="F554" s="173"/>
      <c r="G554" s="173"/>
      <c r="H554" s="173"/>
      <c r="I554" s="211"/>
      <c r="J554" s="211"/>
      <c r="K554" s="401"/>
      <c r="L554" s="173"/>
    </row>
    <row r="555" spans="1:12" ht="12.75">
      <c r="A555" s="339" t="s">
        <v>608</v>
      </c>
      <c r="B555" s="418"/>
      <c r="C555" s="342"/>
      <c r="D555" s="338"/>
      <c r="E555" s="338"/>
      <c r="F555" s="173"/>
      <c r="G555" s="173"/>
      <c r="H555" s="173"/>
      <c r="I555" s="211"/>
      <c r="J555" s="211"/>
      <c r="K555" s="401"/>
      <c r="L555" s="173"/>
    </row>
    <row r="556" spans="1:12" ht="12.75">
      <c r="A556" s="351"/>
      <c r="B556" s="361" t="s">
        <v>337</v>
      </c>
      <c r="C556" s="381">
        <f>109.75-0.95</f>
        <v>108.8</v>
      </c>
      <c r="D556" s="381">
        <v>72</v>
      </c>
      <c r="E556" s="385">
        <f>IF((C556+D556=0),"",C556+D556)</f>
        <v>180.8</v>
      </c>
      <c r="F556" s="173"/>
      <c r="G556" s="173" t="s">
        <v>609</v>
      </c>
      <c r="H556" s="173" t="s">
        <v>609</v>
      </c>
      <c r="I556" s="211">
        <f>SUMIF($G$9:$G$647,H556,$C$9:$C$647)</f>
        <v>108.8</v>
      </c>
      <c r="J556" s="211">
        <f>SUMIF($G$9:$G$647,H556,$D$9:$D$647)</f>
        <v>72</v>
      </c>
      <c r="K556" s="401">
        <f>SUM(I556:J556)</f>
        <v>180.8</v>
      </c>
      <c r="L556" s="173" t="s">
        <v>610</v>
      </c>
    </row>
    <row r="557" spans="1:12" ht="12.75">
      <c r="A557" s="339"/>
      <c r="B557" s="421" t="s">
        <v>389</v>
      </c>
      <c r="C557" s="381">
        <f>SUM(C556:C556)</f>
        <v>108.8</v>
      </c>
      <c r="D557" s="381">
        <f>SUM(D556:D556)</f>
        <v>72</v>
      </c>
      <c r="E557" s="381">
        <f>SUM(E556:E556)</f>
        <v>180.8</v>
      </c>
      <c r="F557" s="173"/>
      <c r="G557" s="173"/>
      <c r="H557" s="436"/>
      <c r="I557" s="437"/>
      <c r="J557" s="437"/>
      <c r="K557" s="438">
        <f>SUM(I557:J557)</f>
        <v>0</v>
      </c>
      <c r="L557" s="436"/>
    </row>
    <row r="558" spans="1:11" ht="12.75">
      <c r="A558" s="339"/>
      <c r="B558" s="172"/>
      <c r="C558" s="348"/>
      <c r="D558" s="348"/>
      <c r="E558" s="348"/>
      <c r="F558" s="173"/>
      <c r="G558" s="173"/>
      <c r="H558" s="173"/>
      <c r="I558" s="211"/>
      <c r="J558" s="211"/>
      <c r="K558" s="401"/>
    </row>
    <row r="559" spans="1:12" ht="12.75">
      <c r="A559" s="339" t="s">
        <v>611</v>
      </c>
      <c r="B559" s="172"/>
      <c r="C559" s="342"/>
      <c r="D559" s="338"/>
      <c r="E559" s="338"/>
      <c r="F559" s="173"/>
      <c r="G559" s="173"/>
      <c r="H559" s="173"/>
      <c r="I559" s="211"/>
      <c r="J559" s="211"/>
      <c r="K559" s="401"/>
      <c r="L559" s="173"/>
    </row>
    <row r="560" spans="1:12" ht="12.75">
      <c r="A560" s="351"/>
      <c r="B560" s="361" t="s">
        <v>338</v>
      </c>
      <c r="C560" s="381">
        <v>186.82</v>
      </c>
      <c r="D560" s="381"/>
      <c r="E560" s="385">
        <f>IF((C560+D560=0),"",C560+D560)</f>
        <v>186.82</v>
      </c>
      <c r="F560" s="173"/>
      <c r="G560" s="173" t="s">
        <v>612</v>
      </c>
      <c r="H560" s="173" t="s">
        <v>612</v>
      </c>
      <c r="I560" s="211">
        <f>SUMIF($G$9:$G$647,H560,$C$9:$C$647)</f>
        <v>695.97</v>
      </c>
      <c r="J560" s="211">
        <f>SUMIF($G$9:$G$647,H560,$D$9:$D$647)</f>
        <v>542.25</v>
      </c>
      <c r="K560" s="401">
        <f>SUM(I560:J560)</f>
        <v>1238.22</v>
      </c>
      <c r="L560" s="173" t="s">
        <v>612</v>
      </c>
    </row>
    <row r="561" spans="1:12" ht="12.75">
      <c r="A561" s="351"/>
      <c r="B561" s="361" t="s">
        <v>1281</v>
      </c>
      <c r="C561" s="381">
        <v>101.75</v>
      </c>
      <c r="D561" s="381">
        <v>172.6</v>
      </c>
      <c r="E561" s="385">
        <f>IF((C561+D561=0),"",C561+D561)</f>
        <v>274.35</v>
      </c>
      <c r="F561" s="173"/>
      <c r="G561" s="173" t="s">
        <v>612</v>
      </c>
      <c r="H561" s="173"/>
      <c r="I561" s="211">
        <f>SUMIF($G$9:$G$647,H561,$C$9:$C$647)</f>
        <v>0</v>
      </c>
      <c r="J561" s="211">
        <f>SUMIF($G$9:$G$647,H561,$D$9:$D$647)</f>
        <v>0</v>
      </c>
      <c r="K561" s="401">
        <f>SUM(I561:J561)</f>
        <v>0</v>
      </c>
      <c r="L561" s="173" t="s">
        <v>612</v>
      </c>
    </row>
    <row r="562" spans="1:12" ht="12.75">
      <c r="A562" s="351"/>
      <c r="B562" s="361" t="s">
        <v>339</v>
      </c>
      <c r="C562" s="381"/>
      <c r="D562" s="381">
        <v>339.7</v>
      </c>
      <c r="E562" s="385">
        <f>IF((C562+D562=0),"",C562+D562)</f>
        <v>339.7</v>
      </c>
      <c r="F562" s="173"/>
      <c r="G562" s="173" t="s">
        <v>612</v>
      </c>
      <c r="H562" s="173"/>
      <c r="I562" s="211">
        <f>SUMIF($G$9:$G$647,H562,$C$9:$C$647)</f>
        <v>0</v>
      </c>
      <c r="J562" s="211">
        <f>SUMIF($G$9:$G$647,H562,$D$9:$D$647)</f>
        <v>0</v>
      </c>
      <c r="K562" s="401">
        <f>SUM(I562:J562)</f>
        <v>0</v>
      </c>
      <c r="L562" s="173" t="s">
        <v>612</v>
      </c>
    </row>
    <row r="563" spans="1:12" ht="12.75">
      <c r="A563" s="351"/>
      <c r="B563" s="361" t="s">
        <v>340</v>
      </c>
      <c r="C563" s="381">
        <v>407.4</v>
      </c>
      <c r="D563" s="381"/>
      <c r="E563" s="385">
        <f>IF((C563+D563=0),"",C563+D563)</f>
        <v>407.4</v>
      </c>
      <c r="F563" s="173"/>
      <c r="G563" s="173" t="s">
        <v>612</v>
      </c>
      <c r="H563" s="173"/>
      <c r="I563" s="211">
        <f>SUMIF($G$9:$G$647,H563,$C$9:$C$647)</f>
        <v>0</v>
      </c>
      <c r="J563" s="211">
        <f>SUMIF($G$9:$G$647,H563,$D$9:$D$647)</f>
        <v>0</v>
      </c>
      <c r="K563" s="401">
        <f>SUM(I563:J563)</f>
        <v>0</v>
      </c>
      <c r="L563" s="173" t="s">
        <v>612</v>
      </c>
    </row>
    <row r="564" spans="1:12" ht="12.75">
      <c r="A564" s="351"/>
      <c r="B564" s="361" t="s">
        <v>1282</v>
      </c>
      <c r="C564" s="381"/>
      <c r="D564" s="381">
        <v>29.95</v>
      </c>
      <c r="E564" s="385">
        <f>IF((C564+D564=0),"",C564+D564)</f>
        <v>29.95</v>
      </c>
      <c r="F564" s="173"/>
      <c r="G564" s="173" t="s">
        <v>612</v>
      </c>
      <c r="H564" s="173"/>
      <c r="I564" s="211">
        <f>SUMIF($G$9:$G$647,H564,$C$9:$C$647)</f>
        <v>0</v>
      </c>
      <c r="J564" s="211">
        <f>SUMIF($G$9:$G$647,H564,$D$9:$D$647)</f>
        <v>0</v>
      </c>
      <c r="K564" s="401">
        <f>SUM(I564:J564)</f>
        <v>0</v>
      </c>
      <c r="L564" s="173" t="s">
        <v>612</v>
      </c>
    </row>
    <row r="565" spans="1:12" ht="12.75">
      <c r="A565" s="339"/>
      <c r="B565" s="361" t="s">
        <v>389</v>
      </c>
      <c r="C565" s="381">
        <f>SUM(C560:C564)</f>
        <v>695.97</v>
      </c>
      <c r="D565" s="381">
        <f>SUM(D560:D564)</f>
        <v>542.25</v>
      </c>
      <c r="E565" s="381">
        <f>SUM(E560:E564)</f>
        <v>1238.22</v>
      </c>
      <c r="F565" s="173"/>
      <c r="G565" s="173"/>
      <c r="H565" s="436"/>
      <c r="I565" s="437"/>
      <c r="J565" s="437"/>
      <c r="K565" s="438">
        <f>SUM(K560:K564)</f>
        <v>1238.22</v>
      </c>
      <c r="L565" s="436"/>
    </row>
    <row r="566" spans="1:11" ht="12.75">
      <c r="A566" s="339"/>
      <c r="B566" s="172"/>
      <c r="C566" s="342"/>
      <c r="D566" s="342"/>
      <c r="E566" s="342"/>
      <c r="F566" s="173"/>
      <c r="G566" s="173"/>
      <c r="I566" s="211"/>
      <c r="J566" s="211"/>
      <c r="K566" s="401"/>
    </row>
    <row r="567" spans="1:11" ht="12.75">
      <c r="A567" s="339" t="s">
        <v>1064</v>
      </c>
      <c r="B567" s="172"/>
      <c r="C567" s="342"/>
      <c r="D567" s="338"/>
      <c r="E567" s="338"/>
      <c r="F567" s="173"/>
      <c r="G567" s="173"/>
      <c r="H567" s="173"/>
      <c r="I567" s="211"/>
      <c r="J567" s="211"/>
      <c r="K567" s="401"/>
    </row>
    <row r="568" spans="1:12" ht="12.75">
      <c r="A568" s="351"/>
      <c r="B568" s="361" t="s">
        <v>341</v>
      </c>
      <c r="C568" s="381">
        <v>74.25</v>
      </c>
      <c r="D568" s="381">
        <v>40.1</v>
      </c>
      <c r="E568" s="385">
        <f>IF((C568+D568=0),"",C568+D568)</f>
        <v>114.35</v>
      </c>
      <c r="F568" s="173"/>
      <c r="G568" s="173" t="s">
        <v>613</v>
      </c>
      <c r="H568" s="173" t="s">
        <v>613</v>
      </c>
      <c r="I568" s="211">
        <f>SUMIF($G$9:$G$647,H568,$C$9:$C$647)</f>
        <v>74.25</v>
      </c>
      <c r="J568" s="211">
        <f>SUMIF($G$9:$G$647,H568,$D$9:$D$647)</f>
        <v>40.1</v>
      </c>
      <c r="K568" s="401">
        <f>SUM(I568:J568)</f>
        <v>114.35</v>
      </c>
      <c r="L568" s="173" t="s">
        <v>613</v>
      </c>
    </row>
    <row r="569" spans="1:12" ht="12.75">
      <c r="A569" s="339"/>
      <c r="B569" s="361" t="s">
        <v>389</v>
      </c>
      <c r="C569" s="381">
        <f>SUM(C568)</f>
        <v>74.25</v>
      </c>
      <c r="D569" s="381">
        <f>SUM(D568)</f>
        <v>40.1</v>
      </c>
      <c r="E569" s="381">
        <f>SUM(E568)</f>
        <v>114.35</v>
      </c>
      <c r="F569" s="173"/>
      <c r="G569" s="173"/>
      <c r="H569" s="436"/>
      <c r="I569" s="437"/>
      <c r="J569" s="437"/>
      <c r="K569" s="438">
        <f>SUM(K568)</f>
        <v>114.35</v>
      </c>
      <c r="L569" s="436"/>
    </row>
    <row r="570" spans="1:11" ht="12.75">
      <c r="A570" s="339"/>
      <c r="B570" s="172"/>
      <c r="C570" s="342"/>
      <c r="D570" s="342"/>
      <c r="E570" s="342"/>
      <c r="F570" s="173"/>
      <c r="G570" s="173"/>
      <c r="H570" s="173"/>
      <c r="I570" s="211"/>
      <c r="J570" s="211"/>
      <c r="K570" s="401"/>
    </row>
    <row r="571" spans="1:12" ht="12.75">
      <c r="A571" s="339" t="s">
        <v>614</v>
      </c>
      <c r="B571" s="172"/>
      <c r="C571" s="342"/>
      <c r="D571" s="338"/>
      <c r="E571" s="338"/>
      <c r="F571" s="173"/>
      <c r="G571" s="173"/>
      <c r="H571" s="173"/>
      <c r="I571" s="211"/>
      <c r="J571" s="211"/>
      <c r="K571" s="401"/>
      <c r="L571" s="173"/>
    </row>
    <row r="572" spans="1:12" ht="12.75">
      <c r="A572" s="351"/>
      <c r="B572" s="361" t="s">
        <v>342</v>
      </c>
      <c r="C572" s="381">
        <v>13.5</v>
      </c>
      <c r="D572" s="381">
        <v>8</v>
      </c>
      <c r="E572" s="385">
        <f aca="true" t="shared" si="65" ref="E572:E579">IF((C572+D572=0),"",C572+D572)</f>
        <v>21.5</v>
      </c>
      <c r="F572" s="173"/>
      <c r="G572" s="173" t="s">
        <v>615</v>
      </c>
      <c r="H572" s="173" t="s">
        <v>615</v>
      </c>
      <c r="I572" s="211">
        <f aca="true" t="shared" si="66" ref="I572:I579">SUMIF($G$9:$G$647,H572,$C$9:$C$647)</f>
        <v>13.5</v>
      </c>
      <c r="J572" s="211">
        <f aca="true" t="shared" si="67" ref="J572:J579">SUMIF($G$9:$G$647,H572,$D$9:$D$647)</f>
        <v>8</v>
      </c>
      <c r="K572" s="401">
        <f aca="true" t="shared" si="68" ref="K572:K594">SUM(I572:J572)</f>
        <v>21.5</v>
      </c>
      <c r="L572" s="173" t="s">
        <v>616</v>
      </c>
    </row>
    <row r="573" spans="1:12" ht="12.75">
      <c r="A573" s="351"/>
      <c r="B573" s="361" t="s">
        <v>343</v>
      </c>
      <c r="C573" s="381">
        <v>8</v>
      </c>
      <c r="D573" s="381">
        <v>5.25</v>
      </c>
      <c r="E573" s="385">
        <f t="shared" si="65"/>
        <v>13.25</v>
      </c>
      <c r="F573" s="173"/>
      <c r="G573" s="173" t="s">
        <v>617</v>
      </c>
      <c r="H573" s="173" t="s">
        <v>1223</v>
      </c>
      <c r="I573" s="211">
        <f t="shared" si="66"/>
        <v>6</v>
      </c>
      <c r="J573" s="211">
        <f t="shared" si="67"/>
        <v>5</v>
      </c>
      <c r="K573" s="401">
        <f t="shared" si="68"/>
        <v>11</v>
      </c>
      <c r="L573" s="173" t="s">
        <v>616</v>
      </c>
    </row>
    <row r="574" spans="1:12" ht="12.75">
      <c r="A574" s="351"/>
      <c r="B574" s="361" t="s">
        <v>1227</v>
      </c>
      <c r="C574" s="381">
        <v>6</v>
      </c>
      <c r="D574" s="381">
        <v>5</v>
      </c>
      <c r="E574" s="385">
        <f t="shared" si="65"/>
        <v>11</v>
      </c>
      <c r="F574" s="173"/>
      <c r="G574" s="173" t="s">
        <v>1223</v>
      </c>
      <c r="H574" s="173" t="s">
        <v>617</v>
      </c>
      <c r="I574" s="211">
        <f t="shared" si="66"/>
        <v>8</v>
      </c>
      <c r="J574" s="211">
        <f t="shared" si="67"/>
        <v>5.25</v>
      </c>
      <c r="K574" s="401">
        <f>SUM(I574:J574)</f>
        <v>13.25</v>
      </c>
      <c r="L574" s="173" t="s">
        <v>616</v>
      </c>
    </row>
    <row r="575" spans="1:12" ht="12.75">
      <c r="A575" s="351"/>
      <c r="B575" s="361" t="s">
        <v>344</v>
      </c>
      <c r="C575" s="381">
        <v>5</v>
      </c>
      <c r="D575" s="381">
        <v>7</v>
      </c>
      <c r="E575" s="385">
        <f t="shared" si="65"/>
        <v>12</v>
      </c>
      <c r="F575" s="173"/>
      <c r="G575" s="173" t="s">
        <v>618</v>
      </c>
      <c r="H575" s="173" t="s">
        <v>618</v>
      </c>
      <c r="I575" s="211">
        <f t="shared" si="66"/>
        <v>5</v>
      </c>
      <c r="J575" s="211">
        <f t="shared" si="67"/>
        <v>7</v>
      </c>
      <c r="K575" s="401">
        <f t="shared" si="68"/>
        <v>12</v>
      </c>
      <c r="L575" s="173" t="s">
        <v>616</v>
      </c>
    </row>
    <row r="576" spans="1:12" ht="12.75">
      <c r="A576" s="351"/>
      <c r="B576" s="361" t="s">
        <v>345</v>
      </c>
      <c r="C576" s="381">
        <v>11.7</v>
      </c>
      <c r="D576" s="381">
        <v>4.2</v>
      </c>
      <c r="E576" s="385">
        <f t="shared" si="65"/>
        <v>15.899999999999999</v>
      </c>
      <c r="F576" s="173"/>
      <c r="G576" s="173" t="s">
        <v>619</v>
      </c>
      <c r="H576" s="173" t="s">
        <v>619</v>
      </c>
      <c r="I576" s="211">
        <f t="shared" si="66"/>
        <v>11.7</v>
      </c>
      <c r="J576" s="211">
        <f t="shared" si="67"/>
        <v>4.2</v>
      </c>
      <c r="K576" s="401">
        <f t="shared" si="68"/>
        <v>15.899999999999999</v>
      </c>
      <c r="L576" s="173" t="s">
        <v>616</v>
      </c>
    </row>
    <row r="577" spans="1:12" ht="12.75">
      <c r="A577" s="351"/>
      <c r="B577" s="361" t="s">
        <v>346</v>
      </c>
      <c r="C577" s="381">
        <v>7</v>
      </c>
      <c r="D577" s="381">
        <v>3</v>
      </c>
      <c r="E577" s="385">
        <f t="shared" si="65"/>
        <v>10</v>
      </c>
      <c r="F577" s="173"/>
      <c r="G577" s="173" t="s">
        <v>620</v>
      </c>
      <c r="H577" s="173" t="s">
        <v>620</v>
      </c>
      <c r="I577" s="211">
        <f t="shared" si="66"/>
        <v>7</v>
      </c>
      <c r="J577" s="211">
        <f t="shared" si="67"/>
        <v>3</v>
      </c>
      <c r="K577" s="401">
        <f t="shared" si="68"/>
        <v>10</v>
      </c>
      <c r="L577" s="173" t="s">
        <v>616</v>
      </c>
    </row>
    <row r="578" spans="1:12" ht="12.75">
      <c r="A578" s="351"/>
      <c r="B578" s="361" t="s">
        <v>347</v>
      </c>
      <c r="C578" s="381">
        <v>40.15</v>
      </c>
      <c r="D578" s="381">
        <v>36.4</v>
      </c>
      <c r="E578" s="385">
        <f t="shared" si="65"/>
        <v>76.55</v>
      </c>
      <c r="F578" s="173"/>
      <c r="G578" s="173" t="s">
        <v>621</v>
      </c>
      <c r="H578" s="173" t="s">
        <v>621</v>
      </c>
      <c r="I578" s="211">
        <f t="shared" si="66"/>
        <v>40.15</v>
      </c>
      <c r="J578" s="211">
        <f t="shared" si="67"/>
        <v>36.4</v>
      </c>
      <c r="K578" s="401">
        <f t="shared" si="68"/>
        <v>76.55</v>
      </c>
      <c r="L578" s="173" t="s">
        <v>616</v>
      </c>
    </row>
    <row r="579" spans="1:12" ht="12.75">
      <c r="A579" s="351"/>
      <c r="B579" s="361" t="s">
        <v>1158</v>
      </c>
      <c r="C579" s="381">
        <v>11</v>
      </c>
      <c r="D579" s="381">
        <v>7</v>
      </c>
      <c r="E579" s="385">
        <f t="shared" si="65"/>
        <v>18</v>
      </c>
      <c r="F579" s="173"/>
      <c r="G579" s="173" t="s">
        <v>1166</v>
      </c>
      <c r="H579" s="204" t="s">
        <v>1166</v>
      </c>
      <c r="I579" s="211">
        <f t="shared" si="66"/>
        <v>11</v>
      </c>
      <c r="J579" s="211">
        <f t="shared" si="67"/>
        <v>7</v>
      </c>
      <c r="K579" s="401">
        <f t="shared" si="68"/>
        <v>18</v>
      </c>
      <c r="L579" s="204" t="s">
        <v>616</v>
      </c>
    </row>
    <row r="580" spans="1:12" ht="12.75">
      <c r="A580" s="339"/>
      <c r="B580" s="421" t="s">
        <v>389</v>
      </c>
      <c r="C580" s="381">
        <f>SUM(C572:C579)</f>
        <v>102.35</v>
      </c>
      <c r="D580" s="381">
        <f>SUM(D572:D579)</f>
        <v>75.85</v>
      </c>
      <c r="E580" s="381">
        <f>SUM(E572:E579)</f>
        <v>178.2</v>
      </c>
      <c r="F580" s="173"/>
      <c r="G580" s="173"/>
      <c r="H580" s="436"/>
      <c r="I580" s="437"/>
      <c r="J580" s="437"/>
      <c r="K580" s="438">
        <f>SUM(K572:K579)</f>
        <v>178.2</v>
      </c>
      <c r="L580" s="436"/>
    </row>
    <row r="581" spans="1:11" ht="12.75">
      <c r="A581" s="339"/>
      <c r="B581" s="172"/>
      <c r="C581" s="342"/>
      <c r="D581" s="342"/>
      <c r="E581" s="342"/>
      <c r="F581" s="173"/>
      <c r="G581" s="173"/>
      <c r="H581" s="173"/>
      <c r="I581" s="211"/>
      <c r="J581" s="211"/>
      <c r="K581" s="401"/>
    </row>
    <row r="582" spans="1:11" ht="12.75">
      <c r="A582" s="339" t="s">
        <v>622</v>
      </c>
      <c r="B582" s="172"/>
      <c r="C582" s="342"/>
      <c r="D582" s="338"/>
      <c r="E582" s="338"/>
      <c r="F582" s="173"/>
      <c r="G582" s="173"/>
      <c r="H582" s="173"/>
      <c r="I582" s="211"/>
      <c r="J582" s="211"/>
      <c r="K582" s="401"/>
    </row>
    <row r="583" spans="1:12" ht="12.75">
      <c r="A583" s="351"/>
      <c r="B583" s="361" t="s">
        <v>348</v>
      </c>
      <c r="C583" s="381">
        <v>10</v>
      </c>
      <c r="D583" s="381">
        <v>14</v>
      </c>
      <c r="E583" s="385">
        <f aca="true" t="shared" si="69" ref="E583:E590">IF((C583+D583=0),"",C583+D583)</f>
        <v>24</v>
      </c>
      <c r="F583" s="173"/>
      <c r="G583" s="173" t="s">
        <v>623</v>
      </c>
      <c r="H583" s="173" t="s">
        <v>623</v>
      </c>
      <c r="I583" s="211">
        <f aca="true" t="shared" si="70" ref="I583:I590">SUMIF($G$9:$G$647,H583,$C$9:$C$647)</f>
        <v>10</v>
      </c>
      <c r="J583" s="211">
        <f aca="true" t="shared" si="71" ref="J583:J590">SUMIF($G$9:$G$647,H583,$D$9:$D$647)</f>
        <v>14</v>
      </c>
      <c r="K583" s="401">
        <f t="shared" si="68"/>
        <v>24</v>
      </c>
      <c r="L583" s="173" t="s">
        <v>624</v>
      </c>
    </row>
    <row r="584" spans="1:12" ht="12.75">
      <c r="A584" s="351"/>
      <c r="B584" s="361" t="s">
        <v>1159</v>
      </c>
      <c r="C584" s="381">
        <v>75.7</v>
      </c>
      <c r="D584" s="381">
        <v>59.25</v>
      </c>
      <c r="E584" s="385">
        <f t="shared" si="69"/>
        <v>134.95</v>
      </c>
      <c r="F584" s="173"/>
      <c r="G584" s="173" t="s">
        <v>625</v>
      </c>
      <c r="H584" s="173" t="s">
        <v>1284</v>
      </c>
      <c r="I584" s="211">
        <f t="shared" si="70"/>
        <v>11.1</v>
      </c>
      <c r="J584" s="211">
        <f t="shared" si="71"/>
        <v>2.9</v>
      </c>
      <c r="K584" s="401">
        <f>SUM(I584:J584)</f>
        <v>14</v>
      </c>
      <c r="L584" s="173" t="s">
        <v>624</v>
      </c>
    </row>
    <row r="585" spans="1:12" ht="12.75">
      <c r="A585" s="351"/>
      <c r="B585" s="361" t="s">
        <v>1283</v>
      </c>
      <c r="C585" s="381">
        <v>11.1</v>
      </c>
      <c r="D585" s="381">
        <v>2.9</v>
      </c>
      <c r="E585" s="385">
        <f t="shared" si="69"/>
        <v>14</v>
      </c>
      <c r="F585" s="173"/>
      <c r="G585" s="173" t="s">
        <v>1284</v>
      </c>
      <c r="H585" s="173" t="s">
        <v>630</v>
      </c>
      <c r="I585" s="211">
        <f t="shared" si="70"/>
        <v>12.25</v>
      </c>
      <c r="J585" s="211">
        <f t="shared" si="71"/>
        <v>2</v>
      </c>
      <c r="K585" s="401">
        <f t="shared" si="68"/>
        <v>14.25</v>
      </c>
      <c r="L585" s="173" t="s">
        <v>624</v>
      </c>
    </row>
    <row r="586" spans="1:12" ht="12.75">
      <c r="A586" s="351"/>
      <c r="B586" s="361" t="s">
        <v>349</v>
      </c>
      <c r="C586" s="381">
        <v>36.45</v>
      </c>
      <c r="D586" s="381">
        <v>20</v>
      </c>
      <c r="E586" s="385">
        <f t="shared" si="69"/>
        <v>56.45</v>
      </c>
      <c r="F586" s="173"/>
      <c r="G586" s="173" t="s">
        <v>626</v>
      </c>
      <c r="H586" s="173" t="s">
        <v>626</v>
      </c>
      <c r="I586" s="211">
        <f t="shared" si="70"/>
        <v>36.45</v>
      </c>
      <c r="J586" s="211">
        <f t="shared" si="71"/>
        <v>20</v>
      </c>
      <c r="K586" s="401">
        <f t="shared" si="68"/>
        <v>56.45</v>
      </c>
      <c r="L586" s="173" t="s">
        <v>624</v>
      </c>
    </row>
    <row r="587" spans="1:12" ht="12.75">
      <c r="A587" s="351"/>
      <c r="B587" s="361" t="s">
        <v>350</v>
      </c>
      <c r="C587" s="381">
        <v>73.41</v>
      </c>
      <c r="D587" s="381">
        <v>51</v>
      </c>
      <c r="E587" s="385">
        <f t="shared" si="69"/>
        <v>124.41</v>
      </c>
      <c r="F587" s="173"/>
      <c r="G587" s="173" t="s">
        <v>627</v>
      </c>
      <c r="H587" s="173" t="s">
        <v>627</v>
      </c>
      <c r="I587" s="211">
        <f t="shared" si="70"/>
        <v>73.41</v>
      </c>
      <c r="J587" s="211">
        <f t="shared" si="71"/>
        <v>51</v>
      </c>
      <c r="K587" s="401">
        <f t="shared" si="68"/>
        <v>124.41</v>
      </c>
      <c r="L587" s="173" t="s">
        <v>624</v>
      </c>
    </row>
    <row r="588" spans="1:12" ht="12.75">
      <c r="A588" s="351"/>
      <c r="B588" s="361" t="s">
        <v>351</v>
      </c>
      <c r="C588" s="381">
        <v>129.4</v>
      </c>
      <c r="D588" s="381">
        <f>72.2-1</f>
        <v>71.2</v>
      </c>
      <c r="E588" s="385">
        <f t="shared" si="69"/>
        <v>200.60000000000002</v>
      </c>
      <c r="F588" s="173"/>
      <c r="G588" s="173" t="s">
        <v>628</v>
      </c>
      <c r="H588" s="173" t="s">
        <v>625</v>
      </c>
      <c r="I588" s="211">
        <f t="shared" si="70"/>
        <v>75.7</v>
      </c>
      <c r="J588" s="211">
        <f t="shared" si="71"/>
        <v>59.25</v>
      </c>
      <c r="K588" s="401">
        <f t="shared" si="68"/>
        <v>134.95</v>
      </c>
      <c r="L588" s="173" t="s">
        <v>624</v>
      </c>
    </row>
    <row r="589" spans="1:12" ht="12.75">
      <c r="A589" s="351"/>
      <c r="B589" s="361" t="s">
        <v>352</v>
      </c>
      <c r="C589" s="381">
        <v>15.95</v>
      </c>
      <c r="D589" s="381">
        <v>8</v>
      </c>
      <c r="E589" s="385">
        <f t="shared" si="69"/>
        <v>23.95</v>
      </c>
      <c r="F589" s="173"/>
      <c r="G589" s="173" t="s">
        <v>629</v>
      </c>
      <c r="H589" s="173" t="s">
        <v>628</v>
      </c>
      <c r="I589" s="211">
        <f t="shared" si="70"/>
        <v>129.4</v>
      </c>
      <c r="J589" s="211">
        <f t="shared" si="71"/>
        <v>71.2</v>
      </c>
      <c r="K589" s="401">
        <f t="shared" si="68"/>
        <v>200.60000000000002</v>
      </c>
      <c r="L589" s="173" t="s">
        <v>624</v>
      </c>
    </row>
    <row r="590" spans="1:12" ht="12.75">
      <c r="A590" s="351"/>
      <c r="B590" s="361" t="s">
        <v>1160</v>
      </c>
      <c r="C590" s="381">
        <v>12.25</v>
      </c>
      <c r="D590" s="381">
        <v>2</v>
      </c>
      <c r="E590" s="385">
        <f t="shared" si="69"/>
        <v>14.25</v>
      </c>
      <c r="F590" s="173"/>
      <c r="G590" s="173" t="s">
        <v>630</v>
      </c>
      <c r="H590" s="173" t="s">
        <v>629</v>
      </c>
      <c r="I590" s="211">
        <f t="shared" si="70"/>
        <v>15.95</v>
      </c>
      <c r="J590" s="211">
        <f t="shared" si="71"/>
        <v>8</v>
      </c>
      <c r="K590" s="401">
        <f t="shared" si="68"/>
        <v>23.95</v>
      </c>
      <c r="L590" s="173" t="s">
        <v>624</v>
      </c>
    </row>
    <row r="591" spans="1:12" ht="12.75">
      <c r="A591" s="339"/>
      <c r="B591" s="421" t="s">
        <v>389</v>
      </c>
      <c r="C591" s="381">
        <f>SUM(C583:C590)</f>
        <v>364.26</v>
      </c>
      <c r="D591" s="381">
        <f>SUM(D583:D590)</f>
        <v>228.35000000000002</v>
      </c>
      <c r="E591" s="381">
        <f>SUM(E583:E590)</f>
        <v>592.61</v>
      </c>
      <c r="F591" s="173"/>
      <c r="G591" s="173"/>
      <c r="H591" s="436"/>
      <c r="I591" s="437"/>
      <c r="J591" s="437"/>
      <c r="K591" s="438">
        <f>SUM(K583:K590)</f>
        <v>592.6100000000001</v>
      </c>
      <c r="L591" s="436"/>
    </row>
    <row r="592" spans="1:11" ht="12.75">
      <c r="A592" s="339"/>
      <c r="B592" s="173"/>
      <c r="C592" s="173"/>
      <c r="D592" s="173"/>
      <c r="E592" s="342"/>
      <c r="F592" s="173"/>
      <c r="G592" s="173"/>
      <c r="H592" s="173"/>
      <c r="I592" s="211"/>
      <c r="J592" s="211"/>
      <c r="K592" s="401"/>
    </row>
    <row r="593" spans="1:11" ht="12.75">
      <c r="A593" s="339" t="s">
        <v>631</v>
      </c>
      <c r="B593" s="418"/>
      <c r="C593" s="342"/>
      <c r="D593" s="338"/>
      <c r="E593" s="338"/>
      <c r="F593" s="173"/>
      <c r="G593" s="173"/>
      <c r="H593" s="173"/>
      <c r="I593" s="211"/>
      <c r="J593" s="211"/>
      <c r="K593" s="401"/>
    </row>
    <row r="594" spans="1:12" ht="12.75">
      <c r="A594" s="351"/>
      <c r="B594" s="361" t="s">
        <v>353</v>
      </c>
      <c r="C594" s="381">
        <f>23.5-1</f>
        <v>22.5</v>
      </c>
      <c r="D594" s="381">
        <v>23</v>
      </c>
      <c r="E594" s="385">
        <f>IF((C594+D594=0),"",C594+D594)</f>
        <v>45.5</v>
      </c>
      <c r="F594" s="173"/>
      <c r="G594" s="173" t="s">
        <v>632</v>
      </c>
      <c r="H594" s="173" t="s">
        <v>632</v>
      </c>
      <c r="I594" s="211">
        <f>SUMIF($G$9:$G$647,H594,$C$9:$C$647)</f>
        <v>22.5</v>
      </c>
      <c r="J594" s="211">
        <f>SUMIF($G$9:$G$647,H594,$D$9:$D$647)</f>
        <v>23</v>
      </c>
      <c r="K594" s="401">
        <f t="shared" si="68"/>
        <v>45.5</v>
      </c>
      <c r="L594" s="173" t="s">
        <v>632</v>
      </c>
    </row>
    <row r="595" spans="1:12" ht="12.75">
      <c r="A595" s="339"/>
      <c r="B595" s="421" t="s">
        <v>389</v>
      </c>
      <c r="C595" s="381">
        <f>SUM(C594)</f>
        <v>22.5</v>
      </c>
      <c r="D595" s="381">
        <f>SUM(D594)</f>
        <v>23</v>
      </c>
      <c r="E595" s="381">
        <f>SUM(E594)</f>
        <v>45.5</v>
      </c>
      <c r="F595" s="173"/>
      <c r="G595" s="173"/>
      <c r="H595" s="436"/>
      <c r="I595" s="437"/>
      <c r="J595" s="437"/>
      <c r="K595" s="438">
        <f>SUM(K594)</f>
        <v>45.5</v>
      </c>
      <c r="L595" s="436"/>
    </row>
    <row r="596" spans="1:12" ht="12.75">
      <c r="A596" s="339"/>
      <c r="B596" s="173"/>
      <c r="C596" s="173"/>
      <c r="D596" s="173"/>
      <c r="E596" s="342"/>
      <c r="F596" s="173"/>
      <c r="G596" s="173"/>
      <c r="H596" s="173"/>
      <c r="I596" s="211"/>
      <c r="J596" s="211"/>
      <c r="K596" s="401"/>
      <c r="L596" s="173"/>
    </row>
    <row r="597" spans="1:12" ht="12.75">
      <c r="A597" s="339" t="s">
        <v>633</v>
      </c>
      <c r="B597" s="418"/>
      <c r="C597" s="342"/>
      <c r="D597" s="338"/>
      <c r="E597" s="338"/>
      <c r="F597" s="173"/>
      <c r="G597" s="173"/>
      <c r="H597" s="173"/>
      <c r="I597" s="211"/>
      <c r="J597" s="211"/>
      <c r="K597" s="401"/>
      <c r="L597" s="173"/>
    </row>
    <row r="598" spans="1:12" ht="12.75">
      <c r="A598" s="351"/>
      <c r="B598" s="361" t="s">
        <v>354</v>
      </c>
      <c r="C598" s="381">
        <v>217</v>
      </c>
      <c r="D598" s="381"/>
      <c r="E598" s="385">
        <f>IF((C598+D598=0),"",C598+D598)</f>
        <v>217</v>
      </c>
      <c r="F598" s="173"/>
      <c r="G598" s="173" t="s">
        <v>634</v>
      </c>
      <c r="H598" s="173" t="s">
        <v>634</v>
      </c>
      <c r="I598" s="211">
        <f>SUMIF($G$9:$G$647,H598,$C$9:$C$647)</f>
        <v>217</v>
      </c>
      <c r="J598" s="211">
        <f>SUMIF($G$9:$G$647,H598,$D$9:$D$647)</f>
        <v>183.75</v>
      </c>
      <c r="K598" s="401">
        <f>SUM(I598:J598)</f>
        <v>400.75</v>
      </c>
      <c r="L598" s="173" t="s">
        <v>634</v>
      </c>
    </row>
    <row r="599" spans="1:12" ht="12.75">
      <c r="A599" s="351"/>
      <c r="B599" s="361" t="s">
        <v>355</v>
      </c>
      <c r="C599" s="381"/>
      <c r="D599" s="381">
        <v>183.75</v>
      </c>
      <c r="E599" s="385">
        <f>IF((C599+D599=0),"",C599+D599)</f>
        <v>183.75</v>
      </c>
      <c r="F599" s="173"/>
      <c r="G599" s="173" t="s">
        <v>634</v>
      </c>
      <c r="H599" s="173"/>
      <c r="I599" s="211">
        <f>SUMIF($G$9:$G$647,H599,$C$9:$C$647)</f>
        <v>0</v>
      </c>
      <c r="J599" s="211">
        <f>SUMIF($G$9:$G$647,H599,$D$9:$D$647)</f>
        <v>0</v>
      </c>
      <c r="K599" s="401">
        <f aca="true" t="shared" si="72" ref="K599:K647">SUM(I599:J599)</f>
        <v>0</v>
      </c>
      <c r="L599" s="173" t="s">
        <v>634</v>
      </c>
    </row>
    <row r="600" spans="1:12" ht="12.75">
      <c r="A600" s="339"/>
      <c r="B600" s="361" t="s">
        <v>389</v>
      </c>
      <c r="C600" s="381">
        <f>SUM(C598:C599)</f>
        <v>217</v>
      </c>
      <c r="D600" s="381">
        <f>SUM(D598:D599)</f>
        <v>183.75</v>
      </c>
      <c r="E600" s="381">
        <f>SUM(E598:E599)</f>
        <v>400.75</v>
      </c>
      <c r="F600" s="173"/>
      <c r="G600" s="173"/>
      <c r="H600" s="436"/>
      <c r="I600" s="437"/>
      <c r="J600" s="437"/>
      <c r="K600" s="438">
        <f>SUM(K598:K599)</f>
        <v>400.75</v>
      </c>
      <c r="L600" s="436"/>
    </row>
    <row r="601" spans="1:12" ht="12.75">
      <c r="A601" s="339"/>
      <c r="B601" s="172"/>
      <c r="C601" s="348"/>
      <c r="D601" s="348"/>
      <c r="E601" s="348"/>
      <c r="F601" s="173"/>
      <c r="G601" s="173"/>
      <c r="H601" s="173"/>
      <c r="I601" s="211"/>
      <c r="J601" s="211"/>
      <c r="K601" s="401"/>
      <c r="L601" s="173"/>
    </row>
    <row r="602" spans="1:11" ht="12.75">
      <c r="A602" s="339" t="s">
        <v>635</v>
      </c>
      <c r="B602" s="418"/>
      <c r="C602" s="342"/>
      <c r="D602" s="338"/>
      <c r="E602" s="338"/>
      <c r="F602" s="173"/>
      <c r="G602" s="173"/>
      <c r="I602" s="211"/>
      <c r="J602" s="211"/>
      <c r="K602" s="401"/>
    </row>
    <row r="603" spans="1:12" ht="12.75">
      <c r="A603" s="351"/>
      <c r="B603" s="361" t="s">
        <v>356</v>
      </c>
      <c r="C603" s="381">
        <v>52</v>
      </c>
      <c r="D603" s="381">
        <v>85.5</v>
      </c>
      <c r="E603" s="385">
        <f>IF((C603+D603=0),"",C603+D603)</f>
        <v>137.5</v>
      </c>
      <c r="F603" s="173"/>
      <c r="G603" s="173" t="s">
        <v>636</v>
      </c>
      <c r="H603" s="173" t="s">
        <v>636</v>
      </c>
      <c r="I603" s="211">
        <f>SUMIF($G$9:$G$647,H603,$C$9:$C$647)</f>
        <v>359.78</v>
      </c>
      <c r="J603" s="211">
        <f>SUMIF($G$9:$G$647,H603,$D$9:$D$647)</f>
        <v>258.6</v>
      </c>
      <c r="K603" s="401">
        <f>SUM(I603:J603)</f>
        <v>618.38</v>
      </c>
      <c r="L603" s="173" t="s">
        <v>636</v>
      </c>
    </row>
    <row r="604" spans="1:12" ht="12.75">
      <c r="A604" s="351"/>
      <c r="B604" s="361" t="s">
        <v>357</v>
      </c>
      <c r="C604" s="381">
        <v>307.78</v>
      </c>
      <c r="D604" s="381"/>
      <c r="E604" s="385">
        <f>IF((C604+D604=0),"",C604+D604)</f>
        <v>307.78</v>
      </c>
      <c r="F604" s="173"/>
      <c r="G604" s="173" t="s">
        <v>636</v>
      </c>
      <c r="H604" s="173"/>
      <c r="I604" s="211">
        <f>SUMIF($G$9:$G$647,H604,$C$9:$C$647)</f>
        <v>0</v>
      </c>
      <c r="J604" s="211">
        <f>SUMIF($G$9:$G$647,H604,$D$9:$D$647)</f>
        <v>0</v>
      </c>
      <c r="K604" s="401">
        <f t="shared" si="72"/>
        <v>0</v>
      </c>
      <c r="L604" s="173" t="s">
        <v>636</v>
      </c>
    </row>
    <row r="605" spans="1:12" ht="12.75">
      <c r="A605" s="351"/>
      <c r="B605" s="361" t="s">
        <v>358</v>
      </c>
      <c r="C605" s="381"/>
      <c r="D605" s="381">
        <v>173.1</v>
      </c>
      <c r="E605" s="385">
        <f>IF((C605+D605=0),"",C605+D605)</f>
        <v>173.1</v>
      </c>
      <c r="F605" s="173"/>
      <c r="G605" s="173" t="s">
        <v>636</v>
      </c>
      <c r="H605" s="173"/>
      <c r="I605" s="211">
        <f>SUMIF($G$9:$G$647,H605,$C$9:$C$647)</f>
        <v>0</v>
      </c>
      <c r="J605" s="211">
        <f>SUMIF($G$9:$G$647,H605,$D$9:$D$647)</f>
        <v>0</v>
      </c>
      <c r="K605" s="401">
        <f t="shared" si="72"/>
        <v>0</v>
      </c>
      <c r="L605" s="173" t="s">
        <v>636</v>
      </c>
    </row>
    <row r="606" spans="1:12" ht="12.75">
      <c r="A606" s="339"/>
      <c r="B606" s="361" t="s">
        <v>389</v>
      </c>
      <c r="C606" s="381">
        <f>SUM(C603:C605)</f>
        <v>359.78</v>
      </c>
      <c r="D606" s="381">
        <f>SUM(D603:D605)</f>
        <v>258.6</v>
      </c>
      <c r="E606" s="381">
        <f>SUM(E603:E605)</f>
        <v>618.38</v>
      </c>
      <c r="F606" s="173"/>
      <c r="G606" s="173"/>
      <c r="H606" s="436"/>
      <c r="I606" s="437"/>
      <c r="J606" s="437"/>
      <c r="K606" s="438">
        <f>SUM(K603:K605)</f>
        <v>618.38</v>
      </c>
      <c r="L606" s="436"/>
    </row>
    <row r="607" spans="1:11" ht="12.75">
      <c r="A607" s="339"/>
      <c r="B607" s="173"/>
      <c r="C607" s="173"/>
      <c r="D607" s="173"/>
      <c r="E607" s="342"/>
      <c r="F607" s="173"/>
      <c r="G607" s="173"/>
      <c r="I607" s="211"/>
      <c r="J607" s="211"/>
      <c r="K607" s="401"/>
    </row>
    <row r="608" spans="1:11" ht="12.75">
      <c r="A608" s="339" t="s">
        <v>637</v>
      </c>
      <c r="B608" s="172"/>
      <c r="C608" s="342"/>
      <c r="D608" s="338"/>
      <c r="E608" s="338"/>
      <c r="F608" s="173"/>
      <c r="G608" s="173"/>
      <c r="H608" s="173"/>
      <c r="I608" s="211"/>
      <c r="J608" s="211"/>
      <c r="K608" s="401"/>
    </row>
    <row r="609" spans="1:12" ht="12.75">
      <c r="A609" s="351"/>
      <c r="B609" s="361" t="s">
        <v>359</v>
      </c>
      <c r="C609" s="381">
        <v>20.5</v>
      </c>
      <c r="D609" s="381">
        <v>40.4</v>
      </c>
      <c r="E609" s="385">
        <f>IF((C609+D609=0),"",C609+D609)</f>
        <v>60.9</v>
      </c>
      <c r="F609" s="173"/>
      <c r="G609" s="173" t="s">
        <v>638</v>
      </c>
      <c r="H609" s="173" t="s">
        <v>638</v>
      </c>
      <c r="I609" s="211">
        <f>SUMIF($G$9:$G$647,H609,$C$9:$C$647)</f>
        <v>172.9</v>
      </c>
      <c r="J609" s="211">
        <f>SUMIF($G$9:$G$647,H609,$D$9:$D$647)</f>
        <v>118.58000000000001</v>
      </c>
      <c r="K609" s="401">
        <f>SUM(I609:J609)</f>
        <v>291.48</v>
      </c>
      <c r="L609" s="173" t="s">
        <v>638</v>
      </c>
    </row>
    <row r="610" spans="1:12" ht="12.75">
      <c r="A610" s="351"/>
      <c r="B610" s="361" t="s">
        <v>360</v>
      </c>
      <c r="C610" s="381">
        <v>152.4</v>
      </c>
      <c r="D610" s="381"/>
      <c r="E610" s="385">
        <f>IF((C610+D610=0),"",C610+D610)</f>
        <v>152.4</v>
      </c>
      <c r="F610" s="173"/>
      <c r="G610" s="173" t="s">
        <v>638</v>
      </c>
      <c r="H610" s="173"/>
      <c r="I610" s="211">
        <f>SUMIF($G$9:$G$647,H610,$C$9:$C$647)</f>
        <v>0</v>
      </c>
      <c r="J610" s="211">
        <f>SUMIF($G$9:$G$647,H610,$D$9:$D$647)</f>
        <v>0</v>
      </c>
      <c r="K610" s="401">
        <f t="shared" si="72"/>
        <v>0</v>
      </c>
      <c r="L610" s="173" t="s">
        <v>638</v>
      </c>
    </row>
    <row r="611" spans="1:12" ht="12.75">
      <c r="A611" s="351"/>
      <c r="B611" s="361" t="s">
        <v>361</v>
      </c>
      <c r="C611" s="381"/>
      <c r="D611" s="381">
        <v>78.18</v>
      </c>
      <c r="E611" s="385">
        <f>IF((C611+D611=0),"",C611+D611)</f>
        <v>78.18</v>
      </c>
      <c r="F611" s="173"/>
      <c r="G611" s="173" t="s">
        <v>638</v>
      </c>
      <c r="H611" s="173"/>
      <c r="I611" s="211">
        <f>SUMIF($G$9:$G$647,H611,$C$9:$C$647)</f>
        <v>0</v>
      </c>
      <c r="J611" s="211">
        <f>SUMIF($G$9:$G$647,H611,$D$9:$D$647)</f>
        <v>0</v>
      </c>
      <c r="K611" s="401">
        <f t="shared" si="72"/>
        <v>0</v>
      </c>
      <c r="L611" s="173" t="s">
        <v>638</v>
      </c>
    </row>
    <row r="612" spans="1:12" ht="12.75">
      <c r="A612" s="339"/>
      <c r="B612" s="361" t="s">
        <v>389</v>
      </c>
      <c r="C612" s="381">
        <f>SUM(C609:C611)</f>
        <v>172.9</v>
      </c>
      <c r="D612" s="381">
        <f>SUM(D609:D611)</f>
        <v>118.58000000000001</v>
      </c>
      <c r="E612" s="381">
        <f>SUM(E609:E611)</f>
        <v>291.48</v>
      </c>
      <c r="F612" s="173"/>
      <c r="G612" s="173"/>
      <c r="H612" s="436"/>
      <c r="I612" s="437"/>
      <c r="J612" s="437"/>
      <c r="K612" s="438">
        <f>SUM(K609:K611)</f>
        <v>291.48</v>
      </c>
      <c r="L612" s="436"/>
    </row>
    <row r="613" spans="1:11" ht="12.75">
      <c r="A613" s="339"/>
      <c r="B613" s="173"/>
      <c r="C613" s="173"/>
      <c r="D613" s="173"/>
      <c r="E613" s="342"/>
      <c r="F613" s="173"/>
      <c r="G613" s="173"/>
      <c r="I613" s="211"/>
      <c r="J613" s="211"/>
      <c r="K613" s="401"/>
    </row>
    <row r="614" spans="1:11" ht="12.75">
      <c r="A614" s="339" t="s">
        <v>639</v>
      </c>
      <c r="B614" s="172"/>
      <c r="C614" s="342"/>
      <c r="D614" s="338"/>
      <c r="E614" s="338"/>
      <c r="F614" s="173"/>
      <c r="G614" s="173"/>
      <c r="H614" s="173"/>
      <c r="I614" s="211"/>
      <c r="J614" s="211"/>
      <c r="K614" s="401"/>
    </row>
    <row r="615" spans="1:12" ht="12.75">
      <c r="A615" s="351"/>
      <c r="B615" s="361" t="s">
        <v>1093</v>
      </c>
      <c r="C615" s="381">
        <v>33.9</v>
      </c>
      <c r="D615" s="381">
        <v>28</v>
      </c>
      <c r="E615" s="385">
        <f>IF((C615+D615=0),"",C615+D615)</f>
        <v>61.9</v>
      </c>
      <c r="F615" s="173"/>
      <c r="G615" s="173" t="s">
        <v>640</v>
      </c>
      <c r="H615" s="173" t="s">
        <v>640</v>
      </c>
      <c r="I615" s="211">
        <f>SUMIF($G$9:$G$647,H615,$C$9:$C$647)</f>
        <v>33.9</v>
      </c>
      <c r="J615" s="211">
        <f>SUMIF($G$9:$G$647,H615,$D$9:$D$647)</f>
        <v>28</v>
      </c>
      <c r="K615" s="401">
        <f>SUM(I615:J615)</f>
        <v>61.9</v>
      </c>
      <c r="L615" s="173" t="s">
        <v>640</v>
      </c>
    </row>
    <row r="616" spans="1:12" ht="12.75">
      <c r="A616" s="339"/>
      <c r="B616" s="361" t="s">
        <v>389</v>
      </c>
      <c r="C616" s="381">
        <f>SUM(C615:C615)</f>
        <v>33.9</v>
      </c>
      <c r="D616" s="381">
        <f>SUM(D615:D615)</f>
        <v>28</v>
      </c>
      <c r="E616" s="381">
        <f>SUM(E615:E615)</f>
        <v>61.9</v>
      </c>
      <c r="F616" s="173"/>
      <c r="G616" s="173"/>
      <c r="H616" s="436"/>
      <c r="I616" s="437"/>
      <c r="J616" s="437"/>
      <c r="K616" s="438">
        <f>SUM(K615)</f>
        <v>61.9</v>
      </c>
      <c r="L616" s="436"/>
    </row>
    <row r="617" spans="1:12" ht="12.75">
      <c r="A617" s="339"/>
      <c r="B617" s="173"/>
      <c r="C617" s="173"/>
      <c r="D617" s="173"/>
      <c r="E617" s="342"/>
      <c r="F617" s="173"/>
      <c r="G617" s="173"/>
      <c r="H617" s="173"/>
      <c r="I617" s="211"/>
      <c r="J617" s="211"/>
      <c r="K617" s="401"/>
      <c r="L617" s="173"/>
    </row>
    <row r="618" spans="1:12" ht="12.75">
      <c r="A618" s="339" t="s">
        <v>641</v>
      </c>
      <c r="B618" s="172"/>
      <c r="C618" s="342"/>
      <c r="D618" s="338"/>
      <c r="E618" s="338"/>
      <c r="F618" s="173"/>
      <c r="G618" s="173"/>
      <c r="H618" s="173"/>
      <c r="I618" s="211"/>
      <c r="J618" s="211"/>
      <c r="K618" s="401"/>
      <c r="L618" s="173"/>
    </row>
    <row r="619" spans="1:12" ht="12.75">
      <c r="A619" s="351"/>
      <c r="B619" s="361" t="s">
        <v>362</v>
      </c>
      <c r="C619" s="381">
        <v>21.9</v>
      </c>
      <c r="D619" s="381">
        <v>12.05</v>
      </c>
      <c r="E619" s="385">
        <f aca="true" t="shared" si="73" ref="E619:E624">IF((C619+D619=0),"",C619+D619)</f>
        <v>33.95</v>
      </c>
      <c r="F619" s="173"/>
      <c r="G619" s="173" t="s">
        <v>642</v>
      </c>
      <c r="H619" s="173" t="s">
        <v>642</v>
      </c>
      <c r="I619" s="211">
        <f aca="true" t="shared" si="74" ref="I619:I624">SUMIF($G$9:$G$647,H619,$C$9:$C$647)</f>
        <v>21.9</v>
      </c>
      <c r="J619" s="211">
        <f aca="true" t="shared" si="75" ref="J619:J624">SUMIF($G$9:$G$647,H619,$D$9:$D$647)</f>
        <v>12.05</v>
      </c>
      <c r="K619" s="401">
        <f t="shared" si="72"/>
        <v>33.95</v>
      </c>
      <c r="L619" s="173" t="s">
        <v>643</v>
      </c>
    </row>
    <row r="620" spans="1:12" ht="12.75">
      <c r="A620" s="351"/>
      <c r="B620" s="361" t="s">
        <v>363</v>
      </c>
      <c r="C620" s="381">
        <v>7</v>
      </c>
      <c r="D620" s="381">
        <v>6</v>
      </c>
      <c r="E620" s="385">
        <f t="shared" si="73"/>
        <v>13</v>
      </c>
      <c r="F620" s="173"/>
      <c r="G620" s="173" t="s">
        <v>644</v>
      </c>
      <c r="H620" s="173" t="s">
        <v>644</v>
      </c>
      <c r="I620" s="211">
        <f t="shared" si="74"/>
        <v>7</v>
      </c>
      <c r="J620" s="211">
        <f t="shared" si="75"/>
        <v>6</v>
      </c>
      <c r="K620" s="401">
        <f t="shared" si="72"/>
        <v>13</v>
      </c>
      <c r="L620" s="173" t="s">
        <v>643</v>
      </c>
    </row>
    <row r="621" spans="1:12" ht="12.75">
      <c r="A621" s="351"/>
      <c r="B621" s="361" t="s">
        <v>364</v>
      </c>
      <c r="C621" s="381">
        <v>9.75</v>
      </c>
      <c r="D621" s="381">
        <f>7-1</f>
        <v>6</v>
      </c>
      <c r="E621" s="385">
        <f t="shared" si="73"/>
        <v>15.75</v>
      </c>
      <c r="F621" s="173"/>
      <c r="G621" s="173" t="s">
        <v>645</v>
      </c>
      <c r="H621" s="173" t="s">
        <v>647</v>
      </c>
      <c r="I621" s="211">
        <f t="shared" si="74"/>
        <v>9</v>
      </c>
      <c r="J621" s="211">
        <f t="shared" si="75"/>
        <v>2.75</v>
      </c>
      <c r="K621" s="401">
        <f t="shared" si="72"/>
        <v>11.75</v>
      </c>
      <c r="L621" s="173" t="s">
        <v>643</v>
      </c>
    </row>
    <row r="622" spans="1:12" ht="12.75">
      <c r="A622" s="351"/>
      <c r="B622" s="361" t="s">
        <v>365</v>
      </c>
      <c r="C622" s="381">
        <f>63.85-0.2</f>
        <v>63.65</v>
      </c>
      <c r="D622" s="381">
        <v>43.15</v>
      </c>
      <c r="E622" s="385">
        <f t="shared" si="73"/>
        <v>106.8</v>
      </c>
      <c r="F622" s="173"/>
      <c r="G622" s="173" t="s">
        <v>646</v>
      </c>
      <c r="H622" s="173" t="s">
        <v>645</v>
      </c>
      <c r="I622" s="211">
        <f t="shared" si="74"/>
        <v>9.75</v>
      </c>
      <c r="J622" s="211">
        <f t="shared" si="75"/>
        <v>6</v>
      </c>
      <c r="K622" s="401">
        <f t="shared" si="72"/>
        <v>15.75</v>
      </c>
      <c r="L622" s="173" t="s">
        <v>643</v>
      </c>
    </row>
    <row r="623" spans="1:12" ht="12.75">
      <c r="A623" s="351"/>
      <c r="B623" s="361" t="s">
        <v>366</v>
      </c>
      <c r="C623" s="381">
        <v>9</v>
      </c>
      <c r="D623" s="381">
        <v>2.75</v>
      </c>
      <c r="E623" s="385">
        <f t="shared" si="73"/>
        <v>11.75</v>
      </c>
      <c r="F623" s="173"/>
      <c r="G623" s="173" t="s">
        <v>647</v>
      </c>
      <c r="H623" s="173" t="s">
        <v>646</v>
      </c>
      <c r="I623" s="211">
        <f t="shared" si="74"/>
        <v>63.65</v>
      </c>
      <c r="J623" s="211">
        <f t="shared" si="75"/>
        <v>43.15</v>
      </c>
      <c r="K623" s="401">
        <f>SUM(I623:J623)</f>
        <v>106.8</v>
      </c>
      <c r="L623" s="173" t="s">
        <v>643</v>
      </c>
    </row>
    <row r="624" spans="1:12" ht="12.75">
      <c r="A624" s="351"/>
      <c r="B624" s="173" t="s">
        <v>367</v>
      </c>
      <c r="C624" s="381">
        <v>31.65</v>
      </c>
      <c r="D624" s="381">
        <v>26.5</v>
      </c>
      <c r="E624" s="385">
        <f t="shared" si="73"/>
        <v>58.15</v>
      </c>
      <c r="F624" s="173"/>
      <c r="G624" s="173" t="s">
        <v>648</v>
      </c>
      <c r="H624" s="173" t="s">
        <v>648</v>
      </c>
      <c r="I624" s="211">
        <f t="shared" si="74"/>
        <v>31.65</v>
      </c>
      <c r="J624" s="211">
        <f t="shared" si="75"/>
        <v>26.5</v>
      </c>
      <c r="K624" s="401">
        <f t="shared" si="72"/>
        <v>58.15</v>
      </c>
      <c r="L624" s="173" t="s">
        <v>643</v>
      </c>
    </row>
    <row r="625" spans="1:12" ht="12.75">
      <c r="A625" s="339"/>
      <c r="B625" s="361" t="s">
        <v>389</v>
      </c>
      <c r="C625" s="381">
        <f>SUM(C619:C624)</f>
        <v>142.95</v>
      </c>
      <c r="D625" s="381">
        <f>SUM(D619:D624)</f>
        <v>96.45</v>
      </c>
      <c r="E625" s="381">
        <f>SUM(E619:E624)</f>
        <v>239.4</v>
      </c>
      <c r="F625" s="173"/>
      <c r="G625" s="173"/>
      <c r="H625" s="436"/>
      <c r="I625" s="437"/>
      <c r="J625" s="437"/>
      <c r="K625" s="438">
        <f>SUM(K619:K624)</f>
        <v>239.4</v>
      </c>
      <c r="L625" s="436"/>
    </row>
    <row r="626" spans="1:11" ht="12.75">
      <c r="A626" s="339"/>
      <c r="B626" s="173"/>
      <c r="C626" s="173"/>
      <c r="D626" s="173"/>
      <c r="E626" s="342"/>
      <c r="F626" s="173"/>
      <c r="G626" s="173"/>
      <c r="H626" s="173"/>
      <c r="I626" s="211"/>
      <c r="J626" s="211"/>
      <c r="K626" s="401"/>
    </row>
    <row r="627" spans="1:11" ht="12.75">
      <c r="A627" s="339" t="s">
        <v>649</v>
      </c>
      <c r="B627" s="172"/>
      <c r="C627" s="342"/>
      <c r="D627" s="338"/>
      <c r="E627" s="338"/>
      <c r="F627" s="173"/>
      <c r="G627" s="173"/>
      <c r="H627" s="173"/>
      <c r="I627" s="211"/>
      <c r="J627" s="211"/>
      <c r="K627" s="401"/>
    </row>
    <row r="628" spans="1:12" ht="12.75">
      <c r="A628" s="351"/>
      <c r="B628" s="361" t="s">
        <v>368</v>
      </c>
      <c r="C628" s="381">
        <v>20</v>
      </c>
      <c r="D628" s="381">
        <v>5</v>
      </c>
      <c r="E628" s="385">
        <f aca="true" t="shared" si="76" ref="E628:E637">IF((C628+D628=0),"",C628+D628)</f>
        <v>25</v>
      </c>
      <c r="F628" s="173"/>
      <c r="G628" s="173" t="s">
        <v>650</v>
      </c>
      <c r="H628" s="173" t="s">
        <v>650</v>
      </c>
      <c r="I628" s="211">
        <f aca="true" t="shared" si="77" ref="I628:I637">SUMIF($G$9:$G$647,H628,$C$9:$C$647)</f>
        <v>20</v>
      </c>
      <c r="J628" s="211">
        <f aca="true" t="shared" si="78" ref="J628:J637">SUMIF($G$9:$G$647,H628,$D$9:$D$647)</f>
        <v>5</v>
      </c>
      <c r="K628" s="401">
        <f t="shared" si="72"/>
        <v>25</v>
      </c>
      <c r="L628" s="173" t="s">
        <v>651</v>
      </c>
    </row>
    <row r="629" spans="1:12" ht="12.75">
      <c r="A629" s="351"/>
      <c r="B629" s="361" t="s">
        <v>1180</v>
      </c>
      <c r="C629" s="381">
        <v>29</v>
      </c>
      <c r="D629" s="381">
        <v>17</v>
      </c>
      <c r="E629" s="385">
        <f t="shared" si="76"/>
        <v>46</v>
      </c>
      <c r="F629" s="173"/>
      <c r="G629" s="173" t="s">
        <v>652</v>
      </c>
      <c r="H629" s="173" t="s">
        <v>656</v>
      </c>
      <c r="I629" s="211">
        <f t="shared" si="77"/>
        <v>14</v>
      </c>
      <c r="J629" s="211">
        <f t="shared" si="78"/>
        <v>2</v>
      </c>
      <c r="K629" s="401">
        <f t="shared" si="72"/>
        <v>16</v>
      </c>
      <c r="L629" s="173" t="s">
        <v>651</v>
      </c>
    </row>
    <row r="630" spans="1:12" ht="12.75">
      <c r="A630" s="351"/>
      <c r="B630" s="361" t="s">
        <v>1161</v>
      </c>
      <c r="C630" s="381">
        <v>10</v>
      </c>
      <c r="D630" s="381">
        <v>1</v>
      </c>
      <c r="E630" s="385">
        <f t="shared" si="76"/>
        <v>11</v>
      </c>
      <c r="F630" s="173"/>
      <c r="G630" s="173" t="s">
        <v>653</v>
      </c>
      <c r="H630" s="173" t="s">
        <v>655</v>
      </c>
      <c r="I630" s="211">
        <f t="shared" si="77"/>
        <v>53</v>
      </c>
      <c r="J630" s="211">
        <f t="shared" si="78"/>
        <v>21.65</v>
      </c>
      <c r="K630" s="401">
        <f t="shared" si="72"/>
        <v>74.65</v>
      </c>
      <c r="L630" s="173" t="s">
        <v>651</v>
      </c>
    </row>
    <row r="631" spans="1:12" ht="12.75">
      <c r="A631" s="351"/>
      <c r="B631" s="361" t="s">
        <v>369</v>
      </c>
      <c r="C631" s="381">
        <v>6</v>
      </c>
      <c r="D631" s="381">
        <v>7</v>
      </c>
      <c r="E631" s="385">
        <f t="shared" si="76"/>
        <v>13</v>
      </c>
      <c r="F631" s="173"/>
      <c r="G631" s="173" t="s">
        <v>654</v>
      </c>
      <c r="H631" s="173" t="s">
        <v>657</v>
      </c>
      <c r="I631" s="211">
        <f t="shared" si="77"/>
        <v>17</v>
      </c>
      <c r="J631" s="211">
        <f t="shared" si="78"/>
        <v>5</v>
      </c>
      <c r="K631" s="401">
        <f t="shared" si="72"/>
        <v>22</v>
      </c>
      <c r="L631" s="173" t="s">
        <v>651</v>
      </c>
    </row>
    <row r="632" spans="1:12" ht="12.75">
      <c r="A632" s="351"/>
      <c r="B632" s="361" t="s">
        <v>1162</v>
      </c>
      <c r="C632" s="381">
        <v>53</v>
      </c>
      <c r="D632" s="381">
        <v>21.65</v>
      </c>
      <c r="E632" s="385">
        <f t="shared" si="76"/>
        <v>74.65</v>
      </c>
      <c r="F632" s="173"/>
      <c r="G632" s="173" t="s">
        <v>655</v>
      </c>
      <c r="H632" s="173" t="s">
        <v>653</v>
      </c>
      <c r="I632" s="211">
        <f t="shared" si="77"/>
        <v>10</v>
      </c>
      <c r="J632" s="211">
        <f t="shared" si="78"/>
        <v>1</v>
      </c>
      <c r="K632" s="401">
        <f t="shared" si="72"/>
        <v>11</v>
      </c>
      <c r="L632" s="173" t="s">
        <v>651</v>
      </c>
    </row>
    <row r="633" spans="1:12" ht="12.75">
      <c r="A633" s="351"/>
      <c r="B633" s="361" t="s">
        <v>1163</v>
      </c>
      <c r="C633" s="381">
        <v>14</v>
      </c>
      <c r="D633" s="381">
        <v>2</v>
      </c>
      <c r="E633" s="385">
        <f t="shared" si="76"/>
        <v>16</v>
      </c>
      <c r="F633" s="173"/>
      <c r="G633" s="173" t="s">
        <v>656</v>
      </c>
      <c r="H633" s="173" t="s">
        <v>654</v>
      </c>
      <c r="I633" s="211">
        <f t="shared" si="77"/>
        <v>6</v>
      </c>
      <c r="J633" s="211">
        <f t="shared" si="78"/>
        <v>7</v>
      </c>
      <c r="K633" s="401">
        <f t="shared" si="72"/>
        <v>13</v>
      </c>
      <c r="L633" s="173" t="s">
        <v>651</v>
      </c>
    </row>
    <row r="634" spans="1:12" ht="12.75">
      <c r="A634" s="351"/>
      <c r="B634" s="361" t="s">
        <v>370</v>
      </c>
      <c r="C634" s="381">
        <v>17</v>
      </c>
      <c r="D634" s="381">
        <v>5</v>
      </c>
      <c r="E634" s="385">
        <f t="shared" si="76"/>
        <v>22</v>
      </c>
      <c r="F634" s="173"/>
      <c r="G634" s="173" t="s">
        <v>657</v>
      </c>
      <c r="H634" s="173" t="s">
        <v>371</v>
      </c>
      <c r="I634" s="211">
        <f t="shared" si="77"/>
        <v>27.2</v>
      </c>
      <c r="J634" s="211">
        <f t="shared" si="78"/>
        <v>21.7</v>
      </c>
      <c r="K634" s="401">
        <f t="shared" si="72"/>
        <v>48.9</v>
      </c>
      <c r="L634" s="173" t="s">
        <v>651</v>
      </c>
    </row>
    <row r="635" spans="1:12" ht="12.75">
      <c r="A635" s="351"/>
      <c r="B635" s="361" t="s">
        <v>1164</v>
      </c>
      <c r="C635" s="381">
        <v>20</v>
      </c>
      <c r="D635" s="381">
        <v>7.75</v>
      </c>
      <c r="E635" s="385">
        <f t="shared" si="76"/>
        <v>27.75</v>
      </c>
      <c r="F635" s="173"/>
      <c r="G635" s="173" t="s">
        <v>658</v>
      </c>
      <c r="H635" s="173" t="s">
        <v>652</v>
      </c>
      <c r="I635" s="211">
        <f t="shared" si="77"/>
        <v>29</v>
      </c>
      <c r="J635" s="211">
        <f t="shared" si="78"/>
        <v>17</v>
      </c>
      <c r="K635" s="401">
        <f t="shared" si="72"/>
        <v>46</v>
      </c>
      <c r="L635" s="173" t="s">
        <v>651</v>
      </c>
    </row>
    <row r="636" spans="1:12" ht="12.75">
      <c r="A636" s="351"/>
      <c r="B636" s="361" t="s">
        <v>1165</v>
      </c>
      <c r="C636" s="381">
        <v>27.2</v>
      </c>
      <c r="D636" s="381">
        <v>21.7</v>
      </c>
      <c r="E636" s="385">
        <f t="shared" si="76"/>
        <v>48.9</v>
      </c>
      <c r="F636" s="173"/>
      <c r="G636" s="173" t="s">
        <v>371</v>
      </c>
      <c r="H636" s="173" t="s">
        <v>658</v>
      </c>
      <c r="I636" s="211">
        <f t="shared" si="77"/>
        <v>20</v>
      </c>
      <c r="J636" s="211">
        <f t="shared" si="78"/>
        <v>7.75</v>
      </c>
      <c r="K636" s="401">
        <f t="shared" si="72"/>
        <v>27.75</v>
      </c>
      <c r="L636" s="173" t="s">
        <v>651</v>
      </c>
    </row>
    <row r="637" spans="1:12" ht="12.75">
      <c r="A637" s="351"/>
      <c r="B637" s="361" t="s">
        <v>1244</v>
      </c>
      <c r="C637" s="381">
        <v>9</v>
      </c>
      <c r="D637" s="381">
        <v>3.3</v>
      </c>
      <c r="E637" s="385">
        <f t="shared" si="76"/>
        <v>12.3</v>
      </c>
      <c r="F637" s="173"/>
      <c r="G637" s="173" t="s">
        <v>1242</v>
      </c>
      <c r="H637" s="173" t="s">
        <v>1242</v>
      </c>
      <c r="I637" s="211">
        <f t="shared" si="77"/>
        <v>9</v>
      </c>
      <c r="J637" s="211">
        <f t="shared" si="78"/>
        <v>3.3</v>
      </c>
      <c r="K637" s="401">
        <f t="shared" si="72"/>
        <v>12.3</v>
      </c>
      <c r="L637" s="173" t="s">
        <v>651</v>
      </c>
    </row>
    <row r="638" spans="1:12" ht="12.75">
      <c r="A638" s="339"/>
      <c r="B638" s="361" t="s">
        <v>389</v>
      </c>
      <c r="C638" s="381">
        <f>SUM(C628:C637)</f>
        <v>205.2</v>
      </c>
      <c r="D638" s="381">
        <f>SUM(D628:D637)</f>
        <v>91.4</v>
      </c>
      <c r="E638" s="381">
        <f>SUM(E628:E637)</f>
        <v>296.6</v>
      </c>
      <c r="F638" s="173"/>
      <c r="G638" s="173"/>
      <c r="H638" s="436"/>
      <c r="I638" s="437"/>
      <c r="J638" s="437"/>
      <c r="K638" s="438">
        <f>SUM(K628:K637)</f>
        <v>296.6</v>
      </c>
      <c r="L638" s="436"/>
    </row>
    <row r="639" spans="1:11" ht="12.75">
      <c r="A639" s="339"/>
      <c r="B639" s="173"/>
      <c r="C639" s="173"/>
      <c r="D639" s="173"/>
      <c r="E639" s="173"/>
      <c r="F639" s="173"/>
      <c r="G639" s="173"/>
      <c r="H639" s="173"/>
      <c r="I639" s="211"/>
      <c r="J639" s="211"/>
      <c r="K639" s="401"/>
    </row>
    <row r="640" spans="1:11" ht="12.75">
      <c r="A640" s="339" t="s">
        <v>659</v>
      </c>
      <c r="B640" s="172"/>
      <c r="C640" s="342"/>
      <c r="D640" s="338"/>
      <c r="E640" s="338"/>
      <c r="F640" s="173"/>
      <c r="G640" s="173"/>
      <c r="H640" s="173"/>
      <c r="I640" s="211"/>
      <c r="J640" s="211"/>
      <c r="K640" s="401"/>
    </row>
    <row r="641" spans="1:12" ht="12.75">
      <c r="A641" s="351"/>
      <c r="B641" s="361" t="s">
        <v>372</v>
      </c>
      <c r="C641" s="381">
        <v>109</v>
      </c>
      <c r="D641" s="381">
        <f>88.85-0.05</f>
        <v>88.8</v>
      </c>
      <c r="E641" s="385">
        <f>IF((C641+D641=0),"",C641+D641)</f>
        <v>197.8</v>
      </c>
      <c r="F641" s="173"/>
      <c r="G641" s="173" t="s">
        <v>660</v>
      </c>
      <c r="H641" s="173" t="s">
        <v>660</v>
      </c>
      <c r="I641" s="211">
        <f>SUMIF($G$9:$G$647,H641,$C$9:$C$647)</f>
        <v>109</v>
      </c>
      <c r="J641" s="211">
        <f>SUMIF($G$9:$G$647,H641,$D$9:$D$647)</f>
        <v>88.8</v>
      </c>
      <c r="K641" s="401">
        <f t="shared" si="72"/>
        <v>197.8</v>
      </c>
      <c r="L641" s="173" t="s">
        <v>661</v>
      </c>
    </row>
    <row r="642" spans="1:12" ht="12.75">
      <c r="A642" s="351"/>
      <c r="B642" s="361" t="s">
        <v>373</v>
      </c>
      <c r="C642" s="381">
        <v>62.5</v>
      </c>
      <c r="D642" s="381">
        <v>46.4</v>
      </c>
      <c r="E642" s="385">
        <f>IF((C642+D642=0),"",C642+D642)</f>
        <v>108.9</v>
      </c>
      <c r="F642" s="173"/>
      <c r="G642" s="173" t="s">
        <v>662</v>
      </c>
      <c r="H642" s="173" t="s">
        <v>662</v>
      </c>
      <c r="I642" s="211">
        <f>SUMIF($G$9:$G$647,H642,$C$9:$C$647)</f>
        <v>62.5</v>
      </c>
      <c r="J642" s="211">
        <f>SUMIF($G$9:$G$647,H642,$D$9:$D$647)</f>
        <v>46.4</v>
      </c>
      <c r="K642" s="401">
        <f t="shared" si="72"/>
        <v>108.9</v>
      </c>
      <c r="L642" s="173" t="s">
        <v>661</v>
      </c>
    </row>
    <row r="643" spans="1:12" ht="12.75">
      <c r="A643" s="351"/>
      <c r="B643" s="361" t="s">
        <v>374</v>
      </c>
      <c r="C643" s="381">
        <v>74.75</v>
      </c>
      <c r="D643" s="381">
        <v>50.85</v>
      </c>
      <c r="E643" s="385">
        <f>IF((C643+D643=0),"",C643+D643)</f>
        <v>125.6</v>
      </c>
      <c r="F643" s="173"/>
      <c r="G643" s="173" t="s">
        <v>663</v>
      </c>
      <c r="H643" s="173" t="s">
        <v>663</v>
      </c>
      <c r="I643" s="211">
        <f>SUMIF($G$9:$G$647,H643,$C$9:$C$647)</f>
        <v>74.75</v>
      </c>
      <c r="J643" s="211">
        <f>SUMIF($G$9:$G$647,H643,$D$9:$D$647)</f>
        <v>50.85</v>
      </c>
      <c r="K643" s="401">
        <f t="shared" si="72"/>
        <v>125.6</v>
      </c>
      <c r="L643" s="173" t="s">
        <v>661</v>
      </c>
    </row>
    <row r="644" spans="1:12" ht="12.75">
      <c r="A644" s="351"/>
      <c r="B644" s="361" t="s">
        <v>389</v>
      </c>
      <c r="C644" s="381">
        <f>SUM(C641:C643)</f>
        <v>246.25</v>
      </c>
      <c r="D644" s="381">
        <f>SUM(D641:D643)</f>
        <v>186.04999999999998</v>
      </c>
      <c r="E644" s="381">
        <f>SUM(E641:E643)</f>
        <v>432.30000000000007</v>
      </c>
      <c r="F644" s="173"/>
      <c r="G644" s="173"/>
      <c r="H644" s="436"/>
      <c r="I644" s="437"/>
      <c r="J644" s="437"/>
      <c r="K644" s="438">
        <f t="shared" si="72"/>
        <v>0</v>
      </c>
      <c r="L644" s="436"/>
    </row>
    <row r="645" spans="1:11" ht="12.75">
      <c r="A645" s="339"/>
      <c r="B645" s="172"/>
      <c r="C645" s="342"/>
      <c r="D645" s="342"/>
      <c r="E645" s="342">
        <f>IF((C645+D645=0),"",C645+D645)</f>
      </c>
      <c r="F645" s="173"/>
      <c r="G645" s="173"/>
      <c r="H645" s="173"/>
      <c r="I645" s="211"/>
      <c r="J645" s="211"/>
      <c r="K645" s="401"/>
    </row>
    <row r="646" spans="1:11" ht="12.75">
      <c r="A646" s="339" t="s">
        <v>664</v>
      </c>
      <c r="B646" s="172"/>
      <c r="C646" s="342"/>
      <c r="D646" s="338"/>
      <c r="E646" s="338">
        <f>IF((C646+D646=0),"",C646+D646)</f>
      </c>
      <c r="F646" s="173"/>
      <c r="H646" s="173"/>
      <c r="I646" s="211"/>
      <c r="J646" s="211"/>
      <c r="K646" s="401"/>
    </row>
    <row r="647" spans="1:12" ht="12.75">
      <c r="A647" s="351"/>
      <c r="B647" s="361" t="s">
        <v>1200</v>
      </c>
      <c r="C647" s="433">
        <v>0</v>
      </c>
      <c r="D647" s="381">
        <f>422.9-0.15</f>
        <v>422.75</v>
      </c>
      <c r="E647" s="385">
        <f>IF((C647+D647=0),"",C647+D647)</f>
        <v>422.75</v>
      </c>
      <c r="F647" s="173"/>
      <c r="G647" s="173" t="s">
        <v>665</v>
      </c>
      <c r="H647" s="173"/>
      <c r="I647" s="211">
        <f>SUMIF($G$9:$G$647,H647,$C$9:$C$647)</f>
        <v>0</v>
      </c>
      <c r="J647" s="211">
        <f>SUMIF($G$9:$G$647,H647,$D$9:$D$647)</f>
        <v>0</v>
      </c>
      <c r="K647" s="401">
        <f t="shared" si="72"/>
        <v>0</v>
      </c>
      <c r="L647" s="173" t="s">
        <v>665</v>
      </c>
    </row>
    <row r="648" spans="1:12" ht="12.75">
      <c r="A648" s="339"/>
      <c r="B648" s="361" t="s">
        <v>389</v>
      </c>
      <c r="C648" s="381">
        <f>SUM(C647)</f>
        <v>0</v>
      </c>
      <c r="D648" s="381">
        <f>SUM(D647)</f>
        <v>422.75</v>
      </c>
      <c r="E648" s="381">
        <f>SUM(E647)</f>
        <v>422.75</v>
      </c>
      <c r="F648" s="173"/>
      <c r="G648" s="173"/>
      <c r="H648" s="173"/>
      <c r="I648" s="211"/>
      <c r="J648" s="211"/>
      <c r="K648" s="401"/>
      <c r="L648" s="173"/>
    </row>
    <row r="649" spans="1:12" ht="12.75">
      <c r="A649" s="339"/>
      <c r="B649" s="172"/>
      <c r="C649" s="346"/>
      <c r="D649" s="346"/>
      <c r="E649" s="346"/>
      <c r="F649" s="173"/>
      <c r="G649" s="173"/>
      <c r="H649" s="173"/>
      <c r="I649" s="211"/>
      <c r="J649" s="211"/>
      <c r="K649" s="401"/>
      <c r="L649" s="173"/>
    </row>
    <row r="650" spans="1:12" ht="12.75">
      <c r="A650" s="352"/>
      <c r="B650" s="353" t="s">
        <v>1235</v>
      </c>
      <c r="C650" s="346"/>
      <c r="D650" s="338"/>
      <c r="E650" s="338"/>
      <c r="F650" s="173"/>
      <c r="G650" s="173"/>
      <c r="H650" s="173"/>
      <c r="I650" s="211"/>
      <c r="J650" s="211"/>
      <c r="K650" s="401">
        <f>SUMIF(B6:B648,"TOTAL",E6:E648)-(SUMIF(G6:G648,"none",E6:E648))-E647</f>
        <v>112064.87999999996</v>
      </c>
      <c r="L650" s="173"/>
    </row>
    <row r="651" spans="1:12" ht="12.75">
      <c r="A651" s="339"/>
      <c r="B651" s="354"/>
      <c r="C651" s="355"/>
      <c r="D651" s="355"/>
      <c r="E651" s="355"/>
      <c r="F651" s="173"/>
      <c r="H651" s="173"/>
      <c r="I651" s="211"/>
      <c r="J651" s="211"/>
      <c r="K651" s="401"/>
      <c r="L651" s="173"/>
    </row>
    <row r="652" spans="1:12" ht="12.75">
      <c r="A652" s="339"/>
      <c r="B652" s="354"/>
      <c r="C652" s="355"/>
      <c r="D652" s="355"/>
      <c r="E652" s="355"/>
      <c r="F652" s="173"/>
      <c r="H652" s="173"/>
      <c r="I652" s="211"/>
      <c r="J652" s="211"/>
      <c r="K652" s="401"/>
      <c r="L652" s="173"/>
    </row>
    <row r="653" spans="8:12" ht="12.75">
      <c r="H653" s="173"/>
      <c r="I653" s="173"/>
      <c r="J653" s="173"/>
      <c r="K653" s="401"/>
      <c r="L653" s="173"/>
    </row>
    <row r="654" spans="8:12" ht="12.75">
      <c r="H654" s="173"/>
      <c r="I654" s="173"/>
      <c r="J654" s="173"/>
      <c r="K654" s="401"/>
      <c r="L654" s="173"/>
    </row>
    <row r="655" spans="8:12" ht="12.75">
      <c r="H655" s="173"/>
      <c r="I655" s="173"/>
      <c r="J655" s="173"/>
      <c r="K655" s="401"/>
      <c r="L655" s="173"/>
    </row>
    <row r="656" spans="8:12" ht="12.75">
      <c r="H656" s="173"/>
      <c r="I656" s="173"/>
      <c r="J656" s="173"/>
      <c r="K656" s="401"/>
      <c r="L656" s="173"/>
    </row>
  </sheetData>
  <sheetProtection sheet="1"/>
  <mergeCells count="4">
    <mergeCell ref="A2:B2"/>
    <mergeCell ref="C2:E2"/>
    <mergeCell ref="A4:B4"/>
    <mergeCell ref="C5:D5"/>
  </mergeCells>
  <printOptions/>
  <pageMargins left="0.25" right="0.25" top="0.25" bottom="0.25" header="0.25" footer="0.25"/>
  <pageSetup fitToHeight="0" horizontalDpi="600" verticalDpi="600" orientation="landscape" scale="80" r:id="rId3"/>
  <legacyDrawing r:id="rId2"/>
</worksheet>
</file>

<file path=xl/worksheets/sheet6.xml><?xml version="1.0" encoding="utf-8"?>
<worksheet xmlns="http://schemas.openxmlformats.org/spreadsheetml/2006/main" xmlns:r="http://schemas.openxmlformats.org/officeDocument/2006/relationships">
  <sheetPr codeName="Sheet6"/>
  <dimension ref="A1:AI370"/>
  <sheetViews>
    <sheetView zoomScalePageLayoutView="0" workbookViewId="0" topLeftCell="A1">
      <pane xSplit="16" ySplit="2" topLeftCell="Q3" activePane="bottomRight" state="frozen"/>
      <selection pane="topLeft" activeCell="A1" sqref="A1"/>
      <selection pane="topRight" activeCell="Q1" sqref="Q1"/>
      <selection pane="bottomLeft" activeCell="A3" sqref="A3"/>
      <selection pane="bottomRight" activeCell="B1" sqref="B1"/>
    </sheetView>
  </sheetViews>
  <sheetFormatPr defaultColWidth="9.140625" defaultRowHeight="12.75"/>
  <cols>
    <col min="1" max="1" width="0.71875" style="0" customWidth="1"/>
    <col min="2" max="2" width="16.140625" style="0" bestFit="1" customWidth="1"/>
    <col min="3" max="3" width="20.421875" style="0" bestFit="1" customWidth="1"/>
    <col min="4" max="4" width="11.140625" style="0" hidden="1" customWidth="1"/>
    <col min="5" max="20" width="0" style="0" hidden="1" customWidth="1"/>
    <col min="32" max="32" width="8.421875" style="0" bestFit="1" customWidth="1"/>
  </cols>
  <sheetData>
    <row r="1" spans="1:34" ht="11.25" customHeight="1">
      <c r="A1" s="318" t="s">
        <v>379</v>
      </c>
      <c r="B1" s="319"/>
      <c r="C1" s="320">
        <v>1</v>
      </c>
      <c r="D1" s="375" t="s">
        <v>1183</v>
      </c>
      <c r="E1" s="321"/>
      <c r="F1" s="322"/>
      <c r="G1" s="322"/>
      <c r="H1" s="323"/>
      <c r="I1" s="322"/>
      <c r="J1" s="322"/>
      <c r="K1" s="324"/>
      <c r="L1" s="324">
        <v>10</v>
      </c>
      <c r="M1" s="324">
        <v>11</v>
      </c>
      <c r="N1" s="324">
        <v>12</v>
      </c>
      <c r="O1" s="324">
        <v>13</v>
      </c>
      <c r="P1" s="324">
        <v>14</v>
      </c>
      <c r="Q1" s="319">
        <v>15</v>
      </c>
      <c r="R1" s="319">
        <v>16</v>
      </c>
      <c r="S1" s="320">
        <v>17</v>
      </c>
      <c r="T1" s="325">
        <v>18</v>
      </c>
      <c r="U1" s="325">
        <v>19</v>
      </c>
      <c r="V1" s="325">
        <v>20</v>
      </c>
      <c r="W1" s="325">
        <v>21</v>
      </c>
      <c r="X1" s="325">
        <v>22</v>
      </c>
      <c r="Y1" s="325">
        <v>23</v>
      </c>
      <c r="Z1" s="325">
        <v>24</v>
      </c>
      <c r="AA1" s="325">
        <v>25</v>
      </c>
      <c r="AB1" s="325">
        <v>26</v>
      </c>
      <c r="AC1" s="325">
        <v>27</v>
      </c>
      <c r="AD1" s="325">
        <v>28</v>
      </c>
      <c r="AE1" s="325">
        <v>29</v>
      </c>
      <c r="AF1" s="320"/>
      <c r="AG1" s="327"/>
      <c r="AH1" s="320"/>
    </row>
    <row r="2" spans="1:35" ht="22.5" customHeight="1">
      <c r="A2" s="217" t="s">
        <v>666</v>
      </c>
      <c r="B2" s="218" t="s">
        <v>667</v>
      </c>
      <c r="C2" s="218" t="s">
        <v>375</v>
      </c>
      <c r="D2" s="219" t="s">
        <v>668</v>
      </c>
      <c r="E2" s="219" t="s">
        <v>669</v>
      </c>
      <c r="F2" s="220" t="s">
        <v>670</v>
      </c>
      <c r="G2" s="220" t="s">
        <v>671</v>
      </c>
      <c r="H2" s="220" t="s">
        <v>672</v>
      </c>
      <c r="I2" s="220" t="s">
        <v>673</v>
      </c>
      <c r="J2" s="220" t="s">
        <v>674</v>
      </c>
      <c r="K2" s="220" t="s">
        <v>675</v>
      </c>
      <c r="L2" s="220" t="s">
        <v>676</v>
      </c>
      <c r="M2" s="221" t="s">
        <v>677</v>
      </c>
      <c r="N2" s="221" t="s">
        <v>678</v>
      </c>
      <c r="O2" s="221" t="s">
        <v>679</v>
      </c>
      <c r="P2" s="221" t="s">
        <v>680</v>
      </c>
      <c r="Q2" s="221" t="s">
        <v>681</v>
      </c>
      <c r="R2" s="222" t="s">
        <v>682</v>
      </c>
      <c r="S2" s="223" t="s">
        <v>683</v>
      </c>
      <c r="T2" s="224" t="s">
        <v>684</v>
      </c>
      <c r="U2" s="224" t="s">
        <v>1066</v>
      </c>
      <c r="V2" s="224" t="s">
        <v>1076</v>
      </c>
      <c r="W2" s="224" t="s">
        <v>1083</v>
      </c>
      <c r="X2" s="224" t="s">
        <v>1095</v>
      </c>
      <c r="Y2" s="224" t="s">
        <v>1167</v>
      </c>
      <c r="Z2" s="224" t="s">
        <v>1171</v>
      </c>
      <c r="AA2" s="224" t="s">
        <v>1181</v>
      </c>
      <c r="AB2" s="224" t="s">
        <v>1225</v>
      </c>
      <c r="AC2" s="224" t="s">
        <v>1238</v>
      </c>
      <c r="AD2" s="224" t="s">
        <v>1255</v>
      </c>
      <c r="AE2" s="224" t="s">
        <v>1286</v>
      </c>
      <c r="AF2" s="223" t="s">
        <v>1291</v>
      </c>
      <c r="AG2" s="224" t="s">
        <v>1292</v>
      </c>
      <c r="AH2" s="224"/>
      <c r="AI2" s="462" t="s">
        <v>1293</v>
      </c>
    </row>
    <row r="3" spans="1:34" ht="12.75">
      <c r="A3" s="225"/>
      <c r="B3" s="214"/>
      <c r="C3" s="214"/>
      <c r="D3" s="222"/>
      <c r="E3" s="222"/>
      <c r="F3" s="222"/>
      <c r="G3" s="222"/>
      <c r="H3" s="222"/>
      <c r="I3" s="222"/>
      <c r="J3" s="222"/>
      <c r="K3" s="222"/>
      <c r="L3" s="222"/>
      <c r="M3" s="222"/>
      <c r="N3" s="222"/>
      <c r="O3" s="222"/>
      <c r="P3" s="222"/>
      <c r="Q3" s="222"/>
      <c r="R3" s="222"/>
      <c r="S3" s="227"/>
      <c r="T3" s="228"/>
      <c r="U3" s="228"/>
      <c r="V3" s="228"/>
      <c r="W3" s="228"/>
      <c r="X3" s="228"/>
      <c r="Y3" s="228"/>
      <c r="Z3" s="228"/>
      <c r="AA3" s="228"/>
      <c r="AB3" s="228"/>
      <c r="AC3" s="228"/>
      <c r="AD3" s="228"/>
      <c r="AE3" s="228"/>
      <c r="AF3" s="227"/>
      <c r="AG3" s="328"/>
      <c r="AH3" s="226"/>
    </row>
    <row r="4" spans="1:34" ht="12.75">
      <c r="A4" s="225"/>
      <c r="B4" s="214"/>
      <c r="C4" s="214"/>
      <c r="D4" s="222"/>
      <c r="E4" s="222"/>
      <c r="F4" s="222"/>
      <c r="G4" s="222"/>
      <c r="H4" s="222"/>
      <c r="I4" s="222"/>
      <c r="J4" s="222"/>
      <c r="K4" s="222"/>
      <c r="L4" s="222"/>
      <c r="M4" s="222"/>
      <c r="N4" s="222"/>
      <c r="O4" s="222"/>
      <c r="P4" s="222"/>
      <c r="Q4" s="222"/>
      <c r="R4" s="222"/>
      <c r="S4" s="227"/>
      <c r="T4" s="228"/>
      <c r="U4" s="228"/>
      <c r="V4" s="228"/>
      <c r="W4" s="228"/>
      <c r="X4" s="228"/>
      <c r="Y4" s="228"/>
      <c r="Z4" s="228"/>
      <c r="AA4" s="228"/>
      <c r="AB4" s="228"/>
      <c r="AC4" s="228"/>
      <c r="AD4" s="228"/>
      <c r="AE4" s="228"/>
      <c r="AF4" s="227"/>
      <c r="AG4" s="328"/>
      <c r="AH4" s="226"/>
    </row>
    <row r="5" spans="1:34" ht="12.75">
      <c r="A5" s="373"/>
      <c r="B5" s="229"/>
      <c r="C5" s="213"/>
      <c r="D5" s="230"/>
      <c r="E5" s="230"/>
      <c r="F5" s="230"/>
      <c r="G5" s="230"/>
      <c r="H5" s="362"/>
      <c r="I5" s="230"/>
      <c r="J5" s="230"/>
      <c r="K5" s="230"/>
      <c r="L5" s="230"/>
      <c r="M5" s="230"/>
      <c r="N5" s="230"/>
      <c r="O5" s="230"/>
      <c r="P5" s="230"/>
      <c r="Q5" s="230"/>
      <c r="R5" s="230"/>
      <c r="S5" s="215"/>
      <c r="T5" s="216"/>
      <c r="U5" s="216"/>
      <c r="V5" s="216"/>
      <c r="W5" s="216"/>
      <c r="X5" s="216"/>
      <c r="Y5" s="216"/>
      <c r="Z5" s="216"/>
      <c r="AA5" s="216"/>
      <c r="AB5" s="216"/>
      <c r="AC5" s="216"/>
      <c r="AD5" s="216"/>
      <c r="AE5" s="216"/>
      <c r="AF5" s="215"/>
      <c r="AG5" s="326"/>
      <c r="AH5" s="213"/>
    </row>
    <row r="6" spans="1:34" ht="12.75">
      <c r="A6" s="231" t="s">
        <v>685</v>
      </c>
      <c r="B6" s="229" t="s">
        <v>380</v>
      </c>
      <c r="C6" s="232" t="s">
        <v>686</v>
      </c>
      <c r="D6" s="233"/>
      <c r="E6" s="233">
        <v>10</v>
      </c>
      <c r="F6" s="233">
        <v>7</v>
      </c>
      <c r="G6" s="233">
        <v>8</v>
      </c>
      <c r="H6" s="234">
        <v>7</v>
      </c>
      <c r="I6" s="234">
        <v>9</v>
      </c>
      <c r="J6" s="234">
        <v>7</v>
      </c>
      <c r="K6" s="234">
        <v>0</v>
      </c>
      <c r="L6" s="234" t="s">
        <v>687</v>
      </c>
      <c r="M6" s="234" t="s">
        <v>687</v>
      </c>
      <c r="N6" s="234" t="s">
        <v>687</v>
      </c>
      <c r="O6" s="234" t="s">
        <v>687</v>
      </c>
      <c r="P6" s="234" t="s">
        <v>687</v>
      </c>
      <c r="Q6" s="234" t="s">
        <v>687</v>
      </c>
      <c r="R6" s="234" t="s">
        <v>687</v>
      </c>
      <c r="S6" s="235" t="s">
        <v>687</v>
      </c>
      <c r="T6" s="236" t="s">
        <v>687</v>
      </c>
      <c r="U6" s="236" t="s">
        <v>687</v>
      </c>
      <c r="V6" s="236" t="s">
        <v>687</v>
      </c>
      <c r="W6" s="236" t="s">
        <v>687</v>
      </c>
      <c r="X6" s="236" t="s">
        <v>687</v>
      </c>
      <c r="Y6" s="236" t="s">
        <v>687</v>
      </c>
      <c r="Z6" s="236" t="s">
        <v>687</v>
      </c>
      <c r="AA6" s="236" t="s">
        <v>687</v>
      </c>
      <c r="AB6" s="236" t="s">
        <v>687</v>
      </c>
      <c r="AC6" s="236" t="s">
        <v>687</v>
      </c>
      <c r="AD6" s="236" t="s">
        <v>687</v>
      </c>
      <c r="AE6" s="236" t="s">
        <v>687</v>
      </c>
      <c r="AF6" s="235"/>
      <c r="AG6" s="329"/>
      <c r="AH6" s="232"/>
    </row>
    <row r="7" spans="1:34" ht="12.75">
      <c r="A7" s="373"/>
      <c r="B7" s="229"/>
      <c r="C7" s="237" t="s">
        <v>688</v>
      </c>
      <c r="D7" s="230">
        <v>18</v>
      </c>
      <c r="E7" s="230">
        <v>16.05</v>
      </c>
      <c r="F7" s="230">
        <v>20</v>
      </c>
      <c r="G7" s="230">
        <v>21.3</v>
      </c>
      <c r="H7" s="238">
        <v>24</v>
      </c>
      <c r="I7" s="238">
        <v>26.7</v>
      </c>
      <c r="J7" s="238">
        <v>27.75</v>
      </c>
      <c r="K7" s="238">
        <v>15</v>
      </c>
      <c r="L7" s="238">
        <v>17.65</v>
      </c>
      <c r="M7" s="238">
        <v>10.5</v>
      </c>
      <c r="N7" s="238">
        <v>13.15</v>
      </c>
      <c r="O7" s="238">
        <v>17.06</v>
      </c>
      <c r="P7" s="238">
        <v>15.25</v>
      </c>
      <c r="Q7" s="238">
        <v>17.3</v>
      </c>
      <c r="R7" s="238">
        <v>16.5</v>
      </c>
      <c r="S7" s="215">
        <v>12.05</v>
      </c>
      <c r="T7" s="216">
        <v>20.25</v>
      </c>
      <c r="U7" s="216">
        <v>10.5</v>
      </c>
      <c r="V7" s="216">
        <v>10.9</v>
      </c>
      <c r="W7" s="216">
        <v>15.75</v>
      </c>
      <c r="X7" s="216">
        <v>13.75</v>
      </c>
      <c r="Y7" s="216">
        <v>10</v>
      </c>
      <c r="Z7" s="216">
        <v>10</v>
      </c>
      <c r="AA7" s="216">
        <v>10</v>
      </c>
      <c r="AB7" s="216">
        <v>11</v>
      </c>
      <c r="AC7" s="216">
        <v>14</v>
      </c>
      <c r="AD7" s="216">
        <v>12.7</v>
      </c>
      <c r="AE7" s="216">
        <v>10</v>
      </c>
      <c r="AF7" s="215"/>
      <c r="AG7" s="333">
        <f aca="true" t="shared" si="0" ref="AG7:AG13">(AE7-AD7)/AD7</f>
        <v>-0.21259842519685035</v>
      </c>
      <c r="AH7" s="213"/>
    </row>
    <row r="8" spans="1:34" ht="12.75">
      <c r="A8" s="373"/>
      <c r="B8" s="229"/>
      <c r="C8" s="237" t="s">
        <v>689</v>
      </c>
      <c r="D8" s="230">
        <v>39</v>
      </c>
      <c r="E8" s="230">
        <v>31.25</v>
      </c>
      <c r="F8" s="230">
        <v>26</v>
      </c>
      <c r="G8" s="230">
        <v>37</v>
      </c>
      <c r="H8" s="238">
        <v>23.9</v>
      </c>
      <c r="I8" s="238">
        <v>19</v>
      </c>
      <c r="J8" s="238">
        <v>27</v>
      </c>
      <c r="K8" s="238">
        <v>23</v>
      </c>
      <c r="L8" s="238">
        <v>24.3</v>
      </c>
      <c r="M8" s="238">
        <v>32.5</v>
      </c>
      <c r="N8" s="238">
        <v>22.25</v>
      </c>
      <c r="O8" s="238">
        <v>22.55</v>
      </c>
      <c r="P8" s="238">
        <v>18.85</v>
      </c>
      <c r="Q8" s="238">
        <v>24.4</v>
      </c>
      <c r="R8" s="238">
        <v>26</v>
      </c>
      <c r="S8" s="215">
        <v>22</v>
      </c>
      <c r="T8" s="216">
        <v>22.7</v>
      </c>
      <c r="U8" s="216">
        <v>24.5</v>
      </c>
      <c r="V8" s="216">
        <v>16.16</v>
      </c>
      <c r="W8" s="216">
        <v>25.8</v>
      </c>
      <c r="X8" s="216">
        <v>12.05</v>
      </c>
      <c r="Y8" s="216">
        <v>15.25</v>
      </c>
      <c r="Z8" s="216">
        <v>16</v>
      </c>
      <c r="AA8" s="216">
        <v>26</v>
      </c>
      <c r="AB8" s="216">
        <v>16.75</v>
      </c>
      <c r="AC8" s="216">
        <v>13.5</v>
      </c>
      <c r="AD8" s="216">
        <v>14.25</v>
      </c>
      <c r="AE8" s="216">
        <v>26.1</v>
      </c>
      <c r="AF8" s="215"/>
      <c r="AG8" s="333">
        <f t="shared" si="0"/>
        <v>0.8315789473684212</v>
      </c>
      <c r="AH8" s="213"/>
    </row>
    <row r="9" spans="1:34" ht="12.75">
      <c r="A9" s="373"/>
      <c r="B9" s="229"/>
      <c r="C9" s="237" t="s">
        <v>690</v>
      </c>
      <c r="D9" s="230">
        <v>21</v>
      </c>
      <c r="E9" s="230">
        <v>19.4</v>
      </c>
      <c r="F9" s="230">
        <v>33.95</v>
      </c>
      <c r="G9" s="230">
        <v>33.5</v>
      </c>
      <c r="H9" s="238">
        <v>25.35</v>
      </c>
      <c r="I9" s="238">
        <v>33.3</v>
      </c>
      <c r="J9" s="238">
        <v>43</v>
      </c>
      <c r="K9" s="238">
        <v>39.9</v>
      </c>
      <c r="L9" s="238">
        <v>45.5</v>
      </c>
      <c r="M9" s="238">
        <v>30.7</v>
      </c>
      <c r="N9" s="238">
        <v>33.45</v>
      </c>
      <c r="O9" s="238">
        <v>37.5</v>
      </c>
      <c r="P9" s="238">
        <v>37.75</v>
      </c>
      <c r="Q9" s="238">
        <v>34</v>
      </c>
      <c r="R9" s="238">
        <v>31</v>
      </c>
      <c r="S9" s="215">
        <v>24.25</v>
      </c>
      <c r="T9" s="216">
        <v>19</v>
      </c>
      <c r="U9" s="216">
        <v>11.89</v>
      </c>
      <c r="V9" s="216">
        <v>13.75</v>
      </c>
      <c r="W9" s="216">
        <v>13.25</v>
      </c>
      <c r="X9" s="216">
        <v>34.4</v>
      </c>
      <c r="Y9" s="216">
        <v>34</v>
      </c>
      <c r="Z9" s="216">
        <v>32</v>
      </c>
      <c r="AA9" s="216">
        <v>33.15</v>
      </c>
      <c r="AB9" s="216">
        <v>30.25</v>
      </c>
      <c r="AC9" s="216">
        <v>31.25</v>
      </c>
      <c r="AD9" s="216">
        <v>34.75</v>
      </c>
      <c r="AE9" s="216">
        <v>31.25</v>
      </c>
      <c r="AF9" s="215"/>
      <c r="AG9" s="333">
        <f t="shared" si="0"/>
        <v>-0.10071942446043165</v>
      </c>
      <c r="AH9" s="213"/>
    </row>
    <row r="10" spans="1:34" ht="12.75">
      <c r="A10" s="373"/>
      <c r="B10" s="229"/>
      <c r="C10" s="237" t="s">
        <v>691</v>
      </c>
      <c r="D10" s="230">
        <v>99</v>
      </c>
      <c r="E10" s="230">
        <v>85.45</v>
      </c>
      <c r="F10" s="230">
        <v>79.6</v>
      </c>
      <c r="G10" s="230">
        <v>87</v>
      </c>
      <c r="H10" s="238">
        <v>83.3</v>
      </c>
      <c r="I10" s="238">
        <v>85.25</v>
      </c>
      <c r="J10" s="238">
        <v>85.4</v>
      </c>
      <c r="K10" s="238">
        <v>92</v>
      </c>
      <c r="L10" s="238">
        <v>84.5</v>
      </c>
      <c r="M10" s="238">
        <v>76.3</v>
      </c>
      <c r="N10" s="238">
        <v>74</v>
      </c>
      <c r="O10" s="238">
        <v>66.9</v>
      </c>
      <c r="P10" s="238">
        <v>65.1</v>
      </c>
      <c r="Q10" s="238">
        <v>65.7</v>
      </c>
      <c r="R10" s="238">
        <v>67.3</v>
      </c>
      <c r="S10" s="215">
        <v>57.6</v>
      </c>
      <c r="T10" s="216">
        <v>56</v>
      </c>
      <c r="U10" s="216">
        <v>46.5</v>
      </c>
      <c r="V10" s="216">
        <v>48.5</v>
      </c>
      <c r="W10" s="216">
        <v>44</v>
      </c>
      <c r="X10" s="216">
        <v>41.9</v>
      </c>
      <c r="Y10" s="216">
        <v>41.9</v>
      </c>
      <c r="Z10" s="216">
        <v>41.15</v>
      </c>
      <c r="AA10" s="216">
        <v>45.3</v>
      </c>
      <c r="AB10" s="216">
        <v>42.25</v>
      </c>
      <c r="AC10" s="216">
        <v>47.85</v>
      </c>
      <c r="AD10" s="216">
        <v>48.3</v>
      </c>
      <c r="AE10" s="216">
        <v>47</v>
      </c>
      <c r="AF10" s="215"/>
      <c r="AG10" s="333">
        <f t="shared" si="0"/>
        <v>-0.026915113871635553</v>
      </c>
      <c r="AH10" s="213"/>
    </row>
    <row r="11" spans="1:34" ht="12.75">
      <c r="A11" s="373"/>
      <c r="B11" s="229"/>
      <c r="C11" s="237" t="s">
        <v>1287</v>
      </c>
      <c r="D11" s="230">
        <v>19</v>
      </c>
      <c r="E11" s="230">
        <v>17</v>
      </c>
      <c r="F11" s="230">
        <v>11.25</v>
      </c>
      <c r="G11" s="230">
        <v>20.2</v>
      </c>
      <c r="H11" s="238">
        <v>16.25</v>
      </c>
      <c r="I11" s="238">
        <v>14.8</v>
      </c>
      <c r="J11" s="238">
        <v>17</v>
      </c>
      <c r="K11" s="238">
        <v>20</v>
      </c>
      <c r="L11" s="238">
        <v>15</v>
      </c>
      <c r="M11" s="238">
        <v>22.35</v>
      </c>
      <c r="N11" s="238">
        <v>16</v>
      </c>
      <c r="O11" s="238">
        <v>12.5</v>
      </c>
      <c r="P11" s="238">
        <v>10.25</v>
      </c>
      <c r="Q11" s="238">
        <v>12.9</v>
      </c>
      <c r="R11" s="238">
        <v>11</v>
      </c>
      <c r="S11" s="215">
        <v>13.45</v>
      </c>
      <c r="T11" s="216">
        <v>24</v>
      </c>
      <c r="U11" s="216">
        <v>26</v>
      </c>
      <c r="V11" s="216">
        <v>10.75</v>
      </c>
      <c r="W11" s="216">
        <v>12.15</v>
      </c>
      <c r="X11" s="216">
        <v>10.35</v>
      </c>
      <c r="Y11" s="216">
        <v>13.65</v>
      </c>
      <c r="Z11" s="216">
        <v>11.45</v>
      </c>
      <c r="AA11" s="216">
        <v>12.35</v>
      </c>
      <c r="AB11" s="216">
        <v>12.05</v>
      </c>
      <c r="AC11" s="216">
        <v>10.8</v>
      </c>
      <c r="AD11" s="216">
        <v>12</v>
      </c>
      <c r="AE11" s="216">
        <v>11.8</v>
      </c>
      <c r="AF11" s="215"/>
      <c r="AG11" s="333">
        <f t="shared" si="0"/>
        <v>-0.016666666666666607</v>
      </c>
      <c r="AH11" s="213"/>
    </row>
    <row r="12" spans="1:34" ht="12.75">
      <c r="A12" s="373"/>
      <c r="B12" s="229"/>
      <c r="C12" s="237" t="s">
        <v>692</v>
      </c>
      <c r="D12" s="230">
        <v>23</v>
      </c>
      <c r="E12" s="230">
        <v>25.5</v>
      </c>
      <c r="F12" s="230">
        <v>34.1</v>
      </c>
      <c r="G12" s="230">
        <v>34</v>
      </c>
      <c r="H12" s="238">
        <v>30.95</v>
      </c>
      <c r="I12" s="238">
        <v>31</v>
      </c>
      <c r="J12" s="238">
        <v>36.4</v>
      </c>
      <c r="K12" s="238">
        <v>33</v>
      </c>
      <c r="L12" s="238">
        <v>31</v>
      </c>
      <c r="M12" s="238">
        <v>32</v>
      </c>
      <c r="N12" s="238">
        <v>27</v>
      </c>
      <c r="O12" s="238">
        <v>26.15</v>
      </c>
      <c r="P12" s="238">
        <v>27</v>
      </c>
      <c r="Q12" s="238">
        <v>33.2</v>
      </c>
      <c r="R12" s="238">
        <v>27.2</v>
      </c>
      <c r="S12" s="215">
        <v>31.25</v>
      </c>
      <c r="T12" s="216">
        <v>25.8</v>
      </c>
      <c r="U12" s="216">
        <v>24.25</v>
      </c>
      <c r="V12" s="216">
        <v>27</v>
      </c>
      <c r="W12" s="216">
        <v>16.6</v>
      </c>
      <c r="X12" s="216">
        <v>26</v>
      </c>
      <c r="Y12" s="216">
        <v>29</v>
      </c>
      <c r="Z12" s="216">
        <v>27.55</v>
      </c>
      <c r="AA12" s="216">
        <v>35.6</v>
      </c>
      <c r="AB12" s="216">
        <v>27.15</v>
      </c>
      <c r="AC12" s="216">
        <v>26.25</v>
      </c>
      <c r="AD12" s="216">
        <v>27.9</v>
      </c>
      <c r="AE12" s="216">
        <v>23</v>
      </c>
      <c r="AF12" s="215"/>
      <c r="AG12" s="333">
        <f t="shared" si="0"/>
        <v>-0.17562724014336914</v>
      </c>
      <c r="AH12" s="213"/>
    </row>
    <row r="13" spans="1:34" ht="12.75">
      <c r="A13" s="373"/>
      <c r="B13" s="229"/>
      <c r="C13" s="237" t="s">
        <v>693</v>
      </c>
      <c r="D13" s="230">
        <v>264</v>
      </c>
      <c r="E13" s="230">
        <v>290.8</v>
      </c>
      <c r="F13" s="230">
        <v>300.15</v>
      </c>
      <c r="G13" s="230">
        <v>284.55</v>
      </c>
      <c r="H13" s="239">
        <v>325.4</v>
      </c>
      <c r="I13" s="239">
        <v>316.8</v>
      </c>
      <c r="J13" s="239">
        <v>329.1</v>
      </c>
      <c r="K13" s="239">
        <v>291.45</v>
      </c>
      <c r="L13" s="239">
        <v>249.99</v>
      </c>
      <c r="M13" s="239">
        <v>231.9</v>
      </c>
      <c r="N13" s="239">
        <v>250.45</v>
      </c>
      <c r="O13" s="239">
        <v>265.35</v>
      </c>
      <c r="P13" s="239">
        <v>255.4</v>
      </c>
      <c r="Q13" s="239">
        <v>251.21</v>
      </c>
      <c r="R13" s="239">
        <v>224.25</v>
      </c>
      <c r="S13" s="215">
        <v>199.1</v>
      </c>
      <c r="T13" s="216">
        <v>206.35</v>
      </c>
      <c r="U13" s="216">
        <v>193.85</v>
      </c>
      <c r="V13" s="216">
        <v>200.06</v>
      </c>
      <c r="W13" s="216">
        <v>197</v>
      </c>
      <c r="X13" s="216">
        <v>196.85</v>
      </c>
      <c r="Y13" s="216">
        <v>178.4</v>
      </c>
      <c r="Z13" s="216">
        <v>167.55</v>
      </c>
      <c r="AA13" s="216">
        <v>150.15</v>
      </c>
      <c r="AB13" s="216">
        <v>165.25</v>
      </c>
      <c r="AC13" s="216">
        <v>161.25</v>
      </c>
      <c r="AD13" s="216">
        <v>162.05</v>
      </c>
      <c r="AE13" s="216">
        <v>197.4</v>
      </c>
      <c r="AF13" s="215"/>
      <c r="AG13" s="333">
        <f t="shared" si="0"/>
        <v>0.21814254859611226</v>
      </c>
      <c r="AH13" s="213"/>
    </row>
    <row r="14" spans="1:34" ht="12.75">
      <c r="A14" s="374"/>
      <c r="B14" s="240"/>
      <c r="C14" s="241"/>
      <c r="D14" s="242"/>
      <c r="E14" s="242"/>
      <c r="F14" s="242"/>
      <c r="G14" s="242"/>
      <c r="H14" s="243"/>
      <c r="I14" s="243"/>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f>SUM(AE7:AE13)</f>
        <v>346.54999999999995</v>
      </c>
      <c r="AG14" s="330"/>
      <c r="AH14" s="241"/>
    </row>
    <row r="15" spans="1:34" ht="12.75">
      <c r="A15" s="244" t="s">
        <v>685</v>
      </c>
      <c r="B15" s="229" t="s">
        <v>390</v>
      </c>
      <c r="C15" s="237" t="s">
        <v>694</v>
      </c>
      <c r="D15" s="230">
        <v>26</v>
      </c>
      <c r="E15" s="230">
        <v>19</v>
      </c>
      <c r="F15" s="230">
        <v>18</v>
      </c>
      <c r="G15" s="230">
        <v>16</v>
      </c>
      <c r="H15" s="238">
        <v>18</v>
      </c>
      <c r="I15" s="238">
        <v>21</v>
      </c>
      <c r="J15" s="238">
        <v>23</v>
      </c>
      <c r="K15" s="238">
        <v>24.45</v>
      </c>
      <c r="L15" s="238">
        <v>13</v>
      </c>
      <c r="M15" s="238">
        <v>20</v>
      </c>
      <c r="N15" s="238">
        <v>19.25</v>
      </c>
      <c r="O15" s="238">
        <v>21</v>
      </c>
      <c r="P15" s="238">
        <v>19</v>
      </c>
      <c r="Q15" s="238">
        <v>16.1</v>
      </c>
      <c r="R15" s="238">
        <v>17.75</v>
      </c>
      <c r="S15" s="215">
        <v>15</v>
      </c>
      <c r="T15" s="216">
        <v>13</v>
      </c>
      <c r="U15" s="216">
        <v>13</v>
      </c>
      <c r="V15" s="216">
        <v>14</v>
      </c>
      <c r="W15" s="216">
        <v>15</v>
      </c>
      <c r="X15" s="216">
        <v>10</v>
      </c>
      <c r="Y15" s="216">
        <v>10</v>
      </c>
      <c r="Z15" s="216">
        <v>10.3</v>
      </c>
      <c r="AA15" s="216">
        <v>14</v>
      </c>
      <c r="AB15" s="216">
        <v>12</v>
      </c>
      <c r="AC15" s="216">
        <v>14</v>
      </c>
      <c r="AD15" s="216">
        <v>10</v>
      </c>
      <c r="AE15" s="216">
        <v>12</v>
      </c>
      <c r="AF15" s="215"/>
      <c r="AG15" s="333">
        <f>(AE15-AD15)/AD15</f>
        <v>0.2</v>
      </c>
      <c r="AH15" s="213"/>
    </row>
    <row r="16" spans="1:34" ht="12.75">
      <c r="A16" s="373"/>
      <c r="B16" s="229"/>
      <c r="C16" s="389" t="s">
        <v>695</v>
      </c>
      <c r="D16" s="230">
        <v>7</v>
      </c>
      <c r="E16" s="230">
        <v>9</v>
      </c>
      <c r="F16" s="230">
        <v>5</v>
      </c>
      <c r="G16" s="230"/>
      <c r="H16" s="238"/>
      <c r="I16" s="238"/>
      <c r="J16" s="238">
        <v>11</v>
      </c>
      <c r="K16" s="238">
        <v>12</v>
      </c>
      <c r="L16" s="238">
        <v>19</v>
      </c>
      <c r="M16" s="238">
        <v>11</v>
      </c>
      <c r="N16" s="238">
        <v>15</v>
      </c>
      <c r="O16" s="238">
        <v>10.75</v>
      </c>
      <c r="P16" s="238">
        <v>13.5</v>
      </c>
      <c r="Q16" s="238">
        <v>11</v>
      </c>
      <c r="R16" s="238">
        <v>10</v>
      </c>
      <c r="S16" s="215">
        <v>10</v>
      </c>
      <c r="T16" s="216">
        <v>10</v>
      </c>
      <c r="U16" s="216">
        <v>10.45</v>
      </c>
      <c r="V16" s="216">
        <v>9.8</v>
      </c>
      <c r="W16" s="356" t="s">
        <v>687</v>
      </c>
      <c r="X16" s="356" t="s">
        <v>687</v>
      </c>
      <c r="Y16" s="356" t="s">
        <v>687</v>
      </c>
      <c r="Z16" s="356" t="s">
        <v>687</v>
      </c>
      <c r="AA16" s="356" t="s">
        <v>687</v>
      </c>
      <c r="AB16" s="356" t="s">
        <v>687</v>
      </c>
      <c r="AC16" s="356" t="s">
        <v>687</v>
      </c>
      <c r="AD16" s="236" t="s">
        <v>687</v>
      </c>
      <c r="AE16" s="236" t="s">
        <v>687</v>
      </c>
      <c r="AF16" s="215"/>
      <c r="AG16" s="333"/>
      <c r="AH16" s="213"/>
    </row>
    <row r="17" spans="1:34" ht="12.75">
      <c r="A17" s="244"/>
      <c r="B17" s="229"/>
      <c r="C17" s="237" t="s">
        <v>696</v>
      </c>
      <c r="D17" s="230">
        <v>712</v>
      </c>
      <c r="E17" s="230">
        <v>714.45</v>
      </c>
      <c r="F17" s="230">
        <v>681.35</v>
      </c>
      <c r="G17" s="230">
        <v>495.2</v>
      </c>
      <c r="H17" s="238">
        <v>0</v>
      </c>
      <c r="I17" s="238">
        <v>0</v>
      </c>
      <c r="J17" s="238">
        <v>0</v>
      </c>
      <c r="K17" s="238">
        <v>0</v>
      </c>
      <c r="L17" s="230">
        <v>14.7</v>
      </c>
      <c r="M17" s="230">
        <v>44.15</v>
      </c>
      <c r="N17" s="230">
        <v>25.15</v>
      </c>
      <c r="O17" s="230">
        <v>23</v>
      </c>
      <c r="P17" s="230">
        <v>16.75</v>
      </c>
      <c r="Q17" s="230">
        <v>14.75</v>
      </c>
      <c r="R17" s="230">
        <v>18.25</v>
      </c>
      <c r="S17" s="215">
        <v>19</v>
      </c>
      <c r="T17" s="216">
        <v>19</v>
      </c>
      <c r="U17" s="216">
        <v>14</v>
      </c>
      <c r="V17" s="216">
        <v>13.2</v>
      </c>
      <c r="W17" s="216">
        <v>22</v>
      </c>
      <c r="X17" s="216">
        <v>20.65</v>
      </c>
      <c r="Y17" s="216">
        <v>21</v>
      </c>
      <c r="Z17" s="216">
        <v>15</v>
      </c>
      <c r="AA17" s="216">
        <v>19</v>
      </c>
      <c r="AB17" s="216">
        <v>25</v>
      </c>
      <c r="AC17" s="216">
        <v>20.7</v>
      </c>
      <c r="AD17" s="216">
        <v>14.5</v>
      </c>
      <c r="AE17" s="216">
        <v>14.55</v>
      </c>
      <c r="AF17" s="215"/>
      <c r="AG17" s="333">
        <f>(AE17-AD17)/AD17</f>
        <v>0.0034482758620690145</v>
      </c>
      <c r="AH17" s="213"/>
    </row>
    <row r="18" spans="1:34" ht="12.75">
      <c r="A18" s="374"/>
      <c r="B18" s="245"/>
      <c r="C18" s="241"/>
      <c r="D18" s="242"/>
      <c r="E18" s="242"/>
      <c r="F18" s="242"/>
      <c r="G18" s="242"/>
      <c r="H18" s="243"/>
      <c r="I18" s="243"/>
      <c r="J18" s="243"/>
      <c r="K18" s="243"/>
      <c r="L18" s="243"/>
      <c r="M18" s="243"/>
      <c r="N18" s="243"/>
      <c r="O18" s="243"/>
      <c r="P18" s="243"/>
      <c r="Q18" s="243"/>
      <c r="R18" s="242"/>
      <c r="S18" s="242"/>
      <c r="T18" s="242"/>
      <c r="U18" s="242"/>
      <c r="V18" s="242"/>
      <c r="W18" s="242"/>
      <c r="X18" s="242"/>
      <c r="Y18" s="242"/>
      <c r="Z18" s="242"/>
      <c r="AA18" s="242"/>
      <c r="AB18" s="242"/>
      <c r="AC18" s="242"/>
      <c r="AD18" s="242"/>
      <c r="AE18" s="242"/>
      <c r="AF18" s="243">
        <f>SUM(AE15:AE17)</f>
        <v>26.55</v>
      </c>
      <c r="AG18" s="330"/>
      <c r="AH18" s="241"/>
    </row>
    <row r="19" spans="1:34" ht="12.75">
      <c r="A19" s="244" t="s">
        <v>697</v>
      </c>
      <c r="B19" s="229" t="s">
        <v>698</v>
      </c>
      <c r="C19" s="237" t="s">
        <v>699</v>
      </c>
      <c r="D19" s="230">
        <v>21.55</v>
      </c>
      <c r="E19" s="230">
        <v>25</v>
      </c>
      <c r="F19" s="230">
        <v>30</v>
      </c>
      <c r="G19" s="230">
        <v>20</v>
      </c>
      <c r="H19" s="238">
        <v>24</v>
      </c>
      <c r="I19" s="238">
        <v>20</v>
      </c>
      <c r="J19" s="238">
        <v>27</v>
      </c>
      <c r="K19" s="238">
        <v>23</v>
      </c>
      <c r="L19" s="238">
        <v>19.55</v>
      </c>
      <c r="M19" s="238">
        <v>15</v>
      </c>
      <c r="N19" s="238">
        <v>15</v>
      </c>
      <c r="O19" s="238">
        <v>15.75</v>
      </c>
      <c r="P19" s="238">
        <v>17.75</v>
      </c>
      <c r="Q19" s="238">
        <v>12.5</v>
      </c>
      <c r="R19" s="238">
        <v>14.35</v>
      </c>
      <c r="S19" s="215">
        <v>10.75</v>
      </c>
      <c r="T19" s="216">
        <v>10.75</v>
      </c>
      <c r="U19" s="216">
        <v>13.75</v>
      </c>
      <c r="V19" s="216">
        <v>7</v>
      </c>
      <c r="W19" s="216">
        <v>10.25</v>
      </c>
      <c r="X19" s="216">
        <v>8</v>
      </c>
      <c r="Y19" s="216">
        <v>8</v>
      </c>
      <c r="Z19" s="216">
        <v>14</v>
      </c>
      <c r="AA19" s="216">
        <v>13</v>
      </c>
      <c r="AB19" s="216">
        <v>17</v>
      </c>
      <c r="AC19" s="216">
        <v>16</v>
      </c>
      <c r="AD19" s="216">
        <v>10</v>
      </c>
      <c r="AE19" s="216">
        <v>12</v>
      </c>
      <c r="AF19" s="215"/>
      <c r="AG19" s="333">
        <f>(AE19-AD19)/AD19</f>
        <v>0.2</v>
      </c>
      <c r="AH19" s="213"/>
    </row>
    <row r="20" spans="1:34" ht="12.75">
      <c r="A20" s="373"/>
      <c r="B20" s="229"/>
      <c r="C20" s="237" t="s">
        <v>700</v>
      </c>
      <c r="D20" s="230">
        <v>25</v>
      </c>
      <c r="E20" s="230">
        <v>18</v>
      </c>
      <c r="F20" s="230">
        <v>24</v>
      </c>
      <c r="G20" s="230">
        <v>17</v>
      </c>
      <c r="H20" s="238">
        <v>22</v>
      </c>
      <c r="I20" s="238">
        <v>22</v>
      </c>
      <c r="J20" s="238">
        <v>18</v>
      </c>
      <c r="K20" s="238">
        <v>20</v>
      </c>
      <c r="L20" s="238">
        <v>14.3</v>
      </c>
      <c r="M20" s="238">
        <v>17</v>
      </c>
      <c r="N20" s="238">
        <v>23</v>
      </c>
      <c r="O20" s="238">
        <v>10.5</v>
      </c>
      <c r="P20" s="238">
        <v>12</v>
      </c>
      <c r="Q20" s="238">
        <v>15</v>
      </c>
      <c r="R20" s="238">
        <v>13.75</v>
      </c>
      <c r="S20" s="215">
        <v>10</v>
      </c>
      <c r="T20" s="216">
        <v>10</v>
      </c>
      <c r="U20" s="216">
        <v>10.5</v>
      </c>
      <c r="V20" s="216">
        <v>12</v>
      </c>
      <c r="W20" s="216">
        <v>11.25</v>
      </c>
      <c r="X20" s="216">
        <v>13</v>
      </c>
      <c r="Y20" s="216">
        <v>10</v>
      </c>
      <c r="Z20" s="216">
        <v>8.5</v>
      </c>
      <c r="AA20" s="216">
        <v>11</v>
      </c>
      <c r="AB20" s="216">
        <v>4.75</v>
      </c>
      <c r="AC20" s="356" t="s">
        <v>687</v>
      </c>
      <c r="AD20" s="236" t="s">
        <v>687</v>
      </c>
      <c r="AE20" s="236" t="s">
        <v>687</v>
      </c>
      <c r="AF20" s="215"/>
      <c r="AG20" s="333"/>
      <c r="AH20" s="213"/>
    </row>
    <row r="21" spans="1:34" ht="12.75">
      <c r="A21" s="373"/>
      <c r="B21" s="229"/>
      <c r="C21" s="237" t="s">
        <v>701</v>
      </c>
      <c r="D21" s="230">
        <v>16</v>
      </c>
      <c r="E21" s="230">
        <v>20</v>
      </c>
      <c r="F21" s="230">
        <v>17</v>
      </c>
      <c r="G21" s="230">
        <v>21</v>
      </c>
      <c r="H21" s="238">
        <v>27</v>
      </c>
      <c r="I21" s="238">
        <v>25</v>
      </c>
      <c r="J21" s="238">
        <v>21</v>
      </c>
      <c r="K21" s="238">
        <v>11.4</v>
      </c>
      <c r="L21" s="238">
        <v>7.2</v>
      </c>
      <c r="M21" s="238">
        <v>16</v>
      </c>
      <c r="N21" s="238">
        <v>14.5</v>
      </c>
      <c r="O21" s="238">
        <v>16</v>
      </c>
      <c r="P21" s="238">
        <v>12.4</v>
      </c>
      <c r="Q21" s="238">
        <v>12</v>
      </c>
      <c r="R21" s="238">
        <v>10.7</v>
      </c>
      <c r="S21" s="215">
        <v>11</v>
      </c>
      <c r="T21" s="216">
        <v>4.75</v>
      </c>
      <c r="U21" s="216">
        <v>5.3</v>
      </c>
      <c r="V21" s="216">
        <v>11</v>
      </c>
      <c r="W21" s="216">
        <v>4.75</v>
      </c>
      <c r="X21" s="216">
        <v>7.5</v>
      </c>
      <c r="Y21" s="216">
        <v>7</v>
      </c>
      <c r="Z21" s="216">
        <v>10</v>
      </c>
      <c r="AA21" s="216">
        <v>6</v>
      </c>
      <c r="AB21" s="216">
        <v>15</v>
      </c>
      <c r="AC21" s="216">
        <v>10.5</v>
      </c>
      <c r="AD21" s="216">
        <v>11</v>
      </c>
      <c r="AE21" s="216">
        <v>6</v>
      </c>
      <c r="AF21" s="215"/>
      <c r="AG21" s="333">
        <f>(AE21-AD21)/AD21</f>
        <v>-0.45454545454545453</v>
      </c>
      <c r="AH21" s="213"/>
    </row>
    <row r="22" spans="1:34" ht="12.75">
      <c r="A22" s="373"/>
      <c r="B22" s="229"/>
      <c r="C22" s="237" t="s">
        <v>702</v>
      </c>
      <c r="D22" s="230">
        <v>147.65</v>
      </c>
      <c r="E22" s="230">
        <v>150</v>
      </c>
      <c r="F22" s="230">
        <v>165</v>
      </c>
      <c r="G22" s="230">
        <v>159</v>
      </c>
      <c r="H22" s="238">
        <v>154</v>
      </c>
      <c r="I22" s="238">
        <v>139</v>
      </c>
      <c r="J22" s="238">
        <v>143</v>
      </c>
      <c r="K22" s="238">
        <v>142.35</v>
      </c>
      <c r="L22" s="238">
        <v>128.8</v>
      </c>
      <c r="M22" s="238">
        <v>111.9</v>
      </c>
      <c r="N22" s="238">
        <v>123.75</v>
      </c>
      <c r="O22" s="238">
        <v>119</v>
      </c>
      <c r="P22" s="238">
        <v>105.6</v>
      </c>
      <c r="Q22" s="238">
        <v>104.66</v>
      </c>
      <c r="R22" s="238">
        <v>102.25</v>
      </c>
      <c r="S22" s="215">
        <v>92.8</v>
      </c>
      <c r="T22" s="216">
        <v>89.8</v>
      </c>
      <c r="U22" s="216">
        <v>99.5</v>
      </c>
      <c r="V22" s="216">
        <v>101.25</v>
      </c>
      <c r="W22" s="216">
        <v>97.35</v>
      </c>
      <c r="X22" s="216">
        <v>99.35</v>
      </c>
      <c r="Y22" s="216">
        <v>89.75</v>
      </c>
      <c r="Z22" s="216">
        <v>96.5</v>
      </c>
      <c r="AA22" s="216">
        <v>87</v>
      </c>
      <c r="AB22" s="216">
        <v>77.65</v>
      </c>
      <c r="AC22" s="216">
        <v>93.65</v>
      </c>
      <c r="AD22" s="216">
        <v>84.1</v>
      </c>
      <c r="AE22" s="216">
        <v>83</v>
      </c>
      <c r="AF22" s="215"/>
      <c r="AG22" s="333">
        <f>(AE22-AD22)/AD22</f>
        <v>-0.013079667063020148</v>
      </c>
      <c r="AH22" s="213"/>
    </row>
    <row r="23" spans="1:34" ht="12.75">
      <c r="A23" s="373"/>
      <c r="B23" s="229"/>
      <c r="C23" s="389" t="s">
        <v>703</v>
      </c>
      <c r="D23" s="230">
        <v>12</v>
      </c>
      <c r="E23" s="230">
        <v>12</v>
      </c>
      <c r="F23" s="230">
        <v>12</v>
      </c>
      <c r="G23" s="230">
        <v>11</v>
      </c>
      <c r="H23" s="238">
        <v>10</v>
      </c>
      <c r="I23" s="238">
        <v>13</v>
      </c>
      <c r="J23" s="238">
        <v>13</v>
      </c>
      <c r="K23" s="238">
        <v>14.2</v>
      </c>
      <c r="L23" s="238">
        <v>14</v>
      </c>
      <c r="M23" s="238">
        <v>15</v>
      </c>
      <c r="N23" s="238">
        <v>16</v>
      </c>
      <c r="O23" s="238">
        <v>16</v>
      </c>
      <c r="P23" s="238">
        <v>11</v>
      </c>
      <c r="Q23" s="238">
        <v>13</v>
      </c>
      <c r="R23" s="238">
        <v>15</v>
      </c>
      <c r="S23" s="215">
        <v>17.75</v>
      </c>
      <c r="T23" s="216">
        <v>17</v>
      </c>
      <c r="U23" s="216">
        <v>17</v>
      </c>
      <c r="V23" s="216">
        <v>12</v>
      </c>
      <c r="W23" s="216">
        <v>8</v>
      </c>
      <c r="X23" s="216">
        <v>6.25</v>
      </c>
      <c r="Y23" s="216">
        <v>10.9</v>
      </c>
      <c r="Z23" s="356" t="s">
        <v>687</v>
      </c>
      <c r="AA23" s="356" t="s">
        <v>687</v>
      </c>
      <c r="AB23" s="356" t="s">
        <v>687</v>
      </c>
      <c r="AC23" s="356" t="s">
        <v>687</v>
      </c>
      <c r="AD23" s="236" t="s">
        <v>687</v>
      </c>
      <c r="AE23" s="236" t="s">
        <v>687</v>
      </c>
      <c r="AF23" s="215"/>
      <c r="AG23" s="333"/>
      <c r="AH23" s="213"/>
    </row>
    <row r="24" spans="1:34" ht="12.75">
      <c r="A24" s="373"/>
      <c r="B24" s="229"/>
      <c r="C24" s="237" t="s">
        <v>704</v>
      </c>
      <c r="D24" s="230">
        <v>148.8</v>
      </c>
      <c r="E24" s="230">
        <v>145</v>
      </c>
      <c r="F24" s="230">
        <v>143</v>
      </c>
      <c r="G24" s="230">
        <v>141</v>
      </c>
      <c r="H24" s="238">
        <v>128</v>
      </c>
      <c r="I24" s="238">
        <v>136</v>
      </c>
      <c r="J24" s="238">
        <v>150</v>
      </c>
      <c r="K24" s="238">
        <v>130.4</v>
      </c>
      <c r="L24" s="238">
        <v>126.5</v>
      </c>
      <c r="M24" s="238">
        <v>124.65</v>
      </c>
      <c r="N24" s="238">
        <v>115.5</v>
      </c>
      <c r="O24" s="238">
        <v>113.5</v>
      </c>
      <c r="P24" s="238">
        <v>114</v>
      </c>
      <c r="Q24" s="238">
        <v>120.33</v>
      </c>
      <c r="R24" s="238">
        <v>112.5</v>
      </c>
      <c r="S24" s="215">
        <v>104.1</v>
      </c>
      <c r="T24" s="216">
        <v>100.7</v>
      </c>
      <c r="U24" s="216">
        <v>110.45</v>
      </c>
      <c r="V24" s="216">
        <v>105.5</v>
      </c>
      <c r="W24" s="216">
        <v>105.7</v>
      </c>
      <c r="X24" s="216">
        <v>110.9</v>
      </c>
      <c r="Y24" s="216">
        <v>101</v>
      </c>
      <c r="Z24" s="216">
        <v>102</v>
      </c>
      <c r="AA24" s="216">
        <v>95.7</v>
      </c>
      <c r="AB24" s="216">
        <v>104</v>
      </c>
      <c r="AC24" s="216">
        <v>100.75</v>
      </c>
      <c r="AD24" s="216">
        <v>109.85</v>
      </c>
      <c r="AE24" s="216">
        <v>106</v>
      </c>
      <c r="AF24" s="215"/>
      <c r="AG24" s="333">
        <f>(AE24-AD24)/AD24</f>
        <v>-0.035047792444242096</v>
      </c>
      <c r="AH24" s="213"/>
    </row>
    <row r="25" spans="1:34" ht="12.75">
      <c r="A25" s="374"/>
      <c r="B25" s="245"/>
      <c r="C25" s="241"/>
      <c r="D25" s="242"/>
      <c r="E25" s="242"/>
      <c r="F25" s="242"/>
      <c r="G25" s="242"/>
      <c r="H25" s="243"/>
      <c r="I25" s="243"/>
      <c r="J25" s="243"/>
      <c r="K25" s="243"/>
      <c r="L25" s="243"/>
      <c r="M25" s="243"/>
      <c r="N25" s="243"/>
      <c r="O25" s="243"/>
      <c r="P25" s="243"/>
      <c r="Q25" s="243"/>
      <c r="R25" s="242"/>
      <c r="S25" s="243"/>
      <c r="T25" s="243"/>
      <c r="U25" s="243"/>
      <c r="V25" s="243"/>
      <c r="W25" s="243"/>
      <c r="X25" s="243"/>
      <c r="Y25" s="243"/>
      <c r="Z25" s="243"/>
      <c r="AA25" s="243"/>
      <c r="AB25" s="243"/>
      <c r="AC25" s="243"/>
      <c r="AD25" s="243"/>
      <c r="AE25" s="243"/>
      <c r="AF25" s="246">
        <f>SUM(AE19:AE24)</f>
        <v>207</v>
      </c>
      <c r="AG25" s="330"/>
      <c r="AH25" s="241"/>
    </row>
    <row r="26" spans="1:34" ht="12.75">
      <c r="A26" s="244" t="s">
        <v>697</v>
      </c>
      <c r="B26" s="229" t="s">
        <v>400</v>
      </c>
      <c r="C26" s="237" t="s">
        <v>400</v>
      </c>
      <c r="D26" s="230">
        <f>34276.5+D27</f>
        <v>39730</v>
      </c>
      <c r="E26" s="230">
        <f>37237.95+E27</f>
        <v>42927.25</v>
      </c>
      <c r="F26" s="230">
        <f>38611.45+F27</f>
        <v>44519.299999999996</v>
      </c>
      <c r="G26" s="230">
        <f>39420.46+G27</f>
        <v>45490.61</v>
      </c>
      <c r="H26" s="238">
        <f>39465.23+H27</f>
        <v>45726.100000000006</v>
      </c>
      <c r="I26" s="238">
        <f>39715.03+I27</f>
        <v>45998.46</v>
      </c>
      <c r="J26" s="238">
        <f>40043.05+J27</f>
        <v>46289.850000000006</v>
      </c>
      <c r="K26" s="238">
        <f>23272.2+17452.31+K27</f>
        <v>47134.19</v>
      </c>
      <c r="L26" s="238">
        <f>554.1+335.55+509.57+445.47+567.1+479.07+553.6+493.8+350.1+565.65+235.8+461.7+360.85+478.85+414.7+491.69+415.55+475.2+241.26+601.69+270.65+477.32+525.55+454.77+508.7+438.6+264.25+399.3+520.07+375.82+386.49+380.17+452.9+0+373.05+432.35+562.62+383.75+542.67+527.2+511.52+512.7+332.8+396.12+401.8+291.7+426.85+557.45+501.44+514.75+428.22+47.65+525.72+810.4+777.35+873.3+914.75+972.15+779.65+961+2140.4+1974.35+2275.3+1646+1892.35+301.15+280.22+7.69+171.6+234.97+233.05+260.15+L27-L30-L31</f>
        <v>44877.42000000001</v>
      </c>
      <c r="M26" s="238">
        <f>40066.61+M27-M30-M31</f>
        <v>44685.09</v>
      </c>
      <c r="N26" s="238">
        <f>40698.82+N27-N30-N31</f>
        <v>45171.16</v>
      </c>
      <c r="O26" s="238">
        <f>39894.72+O27</f>
        <v>45931.07</v>
      </c>
      <c r="P26" s="238">
        <f>40102.42+P27</f>
        <v>46163.08</v>
      </c>
      <c r="Q26" s="238">
        <v>45668.68</v>
      </c>
      <c r="R26" s="238">
        <v>46494.17</v>
      </c>
      <c r="S26" s="215">
        <v>45642.93</v>
      </c>
      <c r="T26" s="216">
        <f>480.7+312.65+466.5+402.1+556.8+453.85+300.6+468.7+403+272.43+495.25+255.2+512.35+348.2+394.45+353.6+351.2+386.25+295.65+459.35+362.9+373.4+201.1+491+366.1+516.2+427.5+370.5+369.7+408.2+409+603.8+282.35+281.1+512.35+307.25+415.85+367.85+439.45+581.5+368+646.4+430.05+363.85+563.8+443.7+477.5+579+369.38+418.5+362.4+401.5+378.4+513.35+531.9+799.75+887+604.2+899.7+1054.2+698.3+789.6+837.55+1717.6+1412.25+1847.1+827.05+2170.39+1926.45+1727.4+1877.7+43.85+351.1+266.35+475.8+295.65+160.25+29.65+16+164+450.2+241.75+64.65+180+206.15</f>
        <v>45925.3</v>
      </c>
      <c r="U26" s="216">
        <v>44304.8</v>
      </c>
      <c r="V26" s="216">
        <v>44068.51</v>
      </c>
      <c r="W26" s="216">
        <v>44702.2</v>
      </c>
      <c r="X26" s="216">
        <v>44204.21</v>
      </c>
      <c r="Y26" s="216">
        <v>44025.1</v>
      </c>
      <c r="Z26" s="216">
        <v>44018.73</v>
      </c>
      <c r="AA26" s="216">
        <v>43131.75</v>
      </c>
      <c r="AB26" s="216">
        <v>43162.36</v>
      </c>
      <c r="AC26" s="216">
        <v>43286.31</v>
      </c>
      <c r="AD26" s="216">
        <v>43045.59</v>
      </c>
      <c r="AE26" s="216">
        <v>42167.96</v>
      </c>
      <c r="AF26" s="215"/>
      <c r="AG26" s="333">
        <f>(AE26-AD26)/AD26</f>
        <v>-0.020388383571929146</v>
      </c>
      <c r="AH26" s="213"/>
    </row>
    <row r="27" spans="1:34" ht="12.75">
      <c r="A27" s="373"/>
      <c r="B27" s="229"/>
      <c r="C27" s="237" t="s">
        <v>705</v>
      </c>
      <c r="D27" s="230">
        <v>5453.5</v>
      </c>
      <c r="E27" s="230">
        <v>5689.3</v>
      </c>
      <c r="F27" s="230">
        <v>5907.85</v>
      </c>
      <c r="G27" s="230">
        <v>6070.15</v>
      </c>
      <c r="H27" s="238">
        <v>6260.87</v>
      </c>
      <c r="I27" s="238">
        <v>6283.43</v>
      </c>
      <c r="J27" s="238">
        <v>6246.8</v>
      </c>
      <c r="K27" s="238">
        <f>3282.64+3127.04</f>
        <v>6409.68</v>
      </c>
      <c r="L27" s="238">
        <f>2066+606.15+481.7+191.5+372+530.22+361.6+30+515.7+359.67+462.3+376.47</f>
        <v>6353.31</v>
      </c>
      <c r="M27" s="238">
        <v>6316.6</v>
      </c>
      <c r="N27" s="238">
        <v>6201.55</v>
      </c>
      <c r="O27" s="238">
        <v>6036.35</v>
      </c>
      <c r="P27" s="238">
        <v>6060.66</v>
      </c>
      <c r="Q27" s="238" t="s">
        <v>706</v>
      </c>
      <c r="R27" s="238" t="s">
        <v>706</v>
      </c>
      <c r="S27" s="215" t="s">
        <v>706</v>
      </c>
      <c r="T27" s="216" t="s">
        <v>706</v>
      </c>
      <c r="U27" s="216" t="s">
        <v>706</v>
      </c>
      <c r="V27" s="216" t="s">
        <v>706</v>
      </c>
      <c r="W27" s="216" t="s">
        <v>706</v>
      </c>
      <c r="X27" s="216" t="s">
        <v>706</v>
      </c>
      <c r="Y27" s="216" t="s">
        <v>706</v>
      </c>
      <c r="Z27" s="216" t="s">
        <v>706</v>
      </c>
      <c r="AA27" s="216" t="s">
        <v>706</v>
      </c>
      <c r="AB27" s="216" t="s">
        <v>706</v>
      </c>
      <c r="AC27" s="216" t="s">
        <v>706</v>
      </c>
      <c r="AD27" s="216" t="s">
        <v>706</v>
      </c>
      <c r="AE27" s="216" t="s">
        <v>706</v>
      </c>
      <c r="AF27" s="215"/>
      <c r="AG27" s="333"/>
      <c r="AH27" s="213"/>
    </row>
    <row r="28" spans="1:34" ht="12.75">
      <c r="A28" s="373"/>
      <c r="B28" s="229"/>
      <c r="C28" s="237" t="s">
        <v>707</v>
      </c>
      <c r="D28" s="230">
        <v>125</v>
      </c>
      <c r="E28" s="230">
        <v>131.65</v>
      </c>
      <c r="F28" s="230">
        <v>140.13</v>
      </c>
      <c r="G28" s="230">
        <v>154.75</v>
      </c>
      <c r="H28" s="238">
        <v>169.5</v>
      </c>
      <c r="I28" s="238">
        <v>160.3</v>
      </c>
      <c r="J28" s="238">
        <v>135.55</v>
      </c>
      <c r="K28" s="238">
        <v>141.57</v>
      </c>
      <c r="L28" s="238">
        <v>153.17</v>
      </c>
      <c r="M28" s="238">
        <v>147.5</v>
      </c>
      <c r="N28" s="238">
        <v>157.58</v>
      </c>
      <c r="O28" s="238">
        <v>144.5</v>
      </c>
      <c r="P28" s="238">
        <v>164.25</v>
      </c>
      <c r="Q28" s="238">
        <v>172.75</v>
      </c>
      <c r="R28" s="238">
        <v>167.05</v>
      </c>
      <c r="S28" s="215">
        <v>160.8</v>
      </c>
      <c r="T28" s="216">
        <v>144.3</v>
      </c>
      <c r="U28" s="216">
        <v>153</v>
      </c>
      <c r="V28" s="216">
        <v>163.95</v>
      </c>
      <c r="W28" s="216">
        <v>160.95</v>
      </c>
      <c r="X28" s="216">
        <v>163.4</v>
      </c>
      <c r="Y28" s="216">
        <v>179.95</v>
      </c>
      <c r="Z28" s="216">
        <v>180.75</v>
      </c>
      <c r="AA28" s="216">
        <v>184.75</v>
      </c>
      <c r="AB28" s="216">
        <v>191.65</v>
      </c>
      <c r="AC28" s="216">
        <v>192.9</v>
      </c>
      <c r="AD28" s="216">
        <v>190.75</v>
      </c>
      <c r="AE28" s="216">
        <v>193.69</v>
      </c>
      <c r="AF28" s="215"/>
      <c r="AG28" s="333">
        <f>(AE28-AD28)/AD28</f>
        <v>0.015412844036697236</v>
      </c>
      <c r="AH28" s="213"/>
    </row>
    <row r="29" spans="1:34" ht="12.75">
      <c r="A29" s="373"/>
      <c r="B29" s="229"/>
      <c r="C29" s="237" t="s">
        <v>708</v>
      </c>
      <c r="D29" s="230"/>
      <c r="E29" s="230"/>
      <c r="F29" s="230"/>
      <c r="G29" s="230"/>
      <c r="H29" s="238"/>
      <c r="I29" s="238"/>
      <c r="J29" s="238">
        <v>45</v>
      </c>
      <c r="K29" s="238">
        <v>40</v>
      </c>
      <c r="L29" s="238">
        <v>40</v>
      </c>
      <c r="M29" s="238">
        <v>44</v>
      </c>
      <c r="N29" s="238">
        <v>52.83</v>
      </c>
      <c r="O29" s="238">
        <v>51.5</v>
      </c>
      <c r="P29" s="238">
        <v>54.85</v>
      </c>
      <c r="Q29" s="238">
        <v>53</v>
      </c>
      <c r="R29" s="238">
        <v>60.1</v>
      </c>
      <c r="S29" s="215">
        <v>53.45</v>
      </c>
      <c r="T29" s="216">
        <v>54.5</v>
      </c>
      <c r="U29" s="216">
        <v>49.9</v>
      </c>
      <c r="V29" s="216">
        <v>44.05</v>
      </c>
      <c r="W29" s="216">
        <v>42.2</v>
      </c>
      <c r="X29" s="216">
        <v>41.43</v>
      </c>
      <c r="Y29" s="216">
        <v>37.7</v>
      </c>
      <c r="Z29" s="216">
        <v>35.87</v>
      </c>
      <c r="AA29" s="216">
        <v>35.05</v>
      </c>
      <c r="AB29" s="216">
        <v>39.99</v>
      </c>
      <c r="AC29" s="216">
        <v>37</v>
      </c>
      <c r="AD29" s="216">
        <v>32.04</v>
      </c>
      <c r="AE29" s="216">
        <v>34.12</v>
      </c>
      <c r="AF29" s="215"/>
      <c r="AG29" s="333">
        <f>(AE29-AD29)/AD29</f>
        <v>0.06491885143570532</v>
      </c>
      <c r="AH29" s="213"/>
    </row>
    <row r="30" spans="1:34" ht="12.75">
      <c r="A30" s="373"/>
      <c r="B30" s="229"/>
      <c r="C30" s="237" t="s">
        <v>709</v>
      </c>
      <c r="D30" s="230"/>
      <c r="E30" s="230"/>
      <c r="F30" s="230"/>
      <c r="G30" s="230"/>
      <c r="H30" s="238"/>
      <c r="I30" s="238"/>
      <c r="J30" s="238">
        <v>773.82</v>
      </c>
      <c r="K30" s="238">
        <v>773.82</v>
      </c>
      <c r="L30" s="238">
        <v>773.82</v>
      </c>
      <c r="M30" s="238">
        <v>1106.47</v>
      </c>
      <c r="N30" s="238">
        <v>1055.01</v>
      </c>
      <c r="O30" s="238">
        <v>1050.5</v>
      </c>
      <c r="P30" s="238">
        <v>1035.95</v>
      </c>
      <c r="Q30" s="238">
        <v>1096.77</v>
      </c>
      <c r="R30" s="238">
        <v>1066.12</v>
      </c>
      <c r="S30" s="215">
        <v>1034.03</v>
      </c>
      <c r="T30" s="216">
        <f>386.35+299.65+380.88</f>
        <v>1066.88</v>
      </c>
      <c r="U30" s="216">
        <v>1036.4</v>
      </c>
      <c r="V30" s="216">
        <v>1149.1</v>
      </c>
      <c r="W30" s="216">
        <v>1137.99</v>
      </c>
      <c r="X30" s="216" t="s">
        <v>1094</v>
      </c>
      <c r="Y30" s="216" t="s">
        <v>1094</v>
      </c>
      <c r="Z30" s="216" t="s">
        <v>1094</v>
      </c>
      <c r="AA30" s="216" t="s">
        <v>1094</v>
      </c>
      <c r="AB30" s="216" t="s">
        <v>1094</v>
      </c>
      <c r="AC30" s="216" t="s">
        <v>1094</v>
      </c>
      <c r="AD30" s="216" t="s">
        <v>1094</v>
      </c>
      <c r="AE30" s="216" t="s">
        <v>1094</v>
      </c>
      <c r="AF30" s="215"/>
      <c r="AG30" s="333"/>
      <c r="AH30" s="213"/>
    </row>
    <row r="31" spans="1:34" ht="12.75">
      <c r="A31" s="373"/>
      <c r="B31" s="229"/>
      <c r="C31" s="237" t="s">
        <v>710</v>
      </c>
      <c r="D31" s="230"/>
      <c r="E31" s="230"/>
      <c r="F31" s="230"/>
      <c r="G31" s="230"/>
      <c r="H31" s="238"/>
      <c r="I31" s="238"/>
      <c r="J31" s="238">
        <v>964.15</v>
      </c>
      <c r="K31" s="238">
        <v>964.15</v>
      </c>
      <c r="L31" s="238">
        <v>964.15</v>
      </c>
      <c r="M31" s="238">
        <v>591.65</v>
      </c>
      <c r="N31" s="238">
        <v>674.2</v>
      </c>
      <c r="O31" s="238">
        <v>722.28</v>
      </c>
      <c r="P31" s="238">
        <v>667.07</v>
      </c>
      <c r="Q31" s="238">
        <v>598.15</v>
      </c>
      <c r="R31" s="238">
        <v>647.05</v>
      </c>
      <c r="S31" s="215">
        <v>686.85</v>
      </c>
      <c r="T31" s="216">
        <f>376.8+282.9</f>
        <v>659.7</v>
      </c>
      <c r="U31" s="216">
        <v>641.7</v>
      </c>
      <c r="V31" s="216">
        <v>627.35</v>
      </c>
      <c r="W31" s="216">
        <v>748.1</v>
      </c>
      <c r="X31" s="216" t="s">
        <v>1094</v>
      </c>
      <c r="Y31" s="216" t="s">
        <v>1094</v>
      </c>
      <c r="Z31" s="216" t="s">
        <v>1094</v>
      </c>
      <c r="AA31" s="216" t="s">
        <v>1094</v>
      </c>
      <c r="AB31" s="216" t="s">
        <v>1094</v>
      </c>
      <c r="AC31" s="216" t="s">
        <v>1094</v>
      </c>
      <c r="AD31" s="216" t="s">
        <v>1094</v>
      </c>
      <c r="AE31" s="216" t="s">
        <v>1094</v>
      </c>
      <c r="AF31" s="215"/>
      <c r="AG31" s="333"/>
      <c r="AH31" s="213"/>
    </row>
    <row r="32" spans="1:34" ht="12.75">
      <c r="A32" s="373"/>
      <c r="B32" s="229"/>
      <c r="C32" s="237" t="s">
        <v>1094</v>
      </c>
      <c r="D32" s="230"/>
      <c r="E32" s="230"/>
      <c r="F32" s="230"/>
      <c r="G32" s="230"/>
      <c r="H32" s="238"/>
      <c r="I32" s="238"/>
      <c r="J32" s="238"/>
      <c r="K32" s="216">
        <f aca="true" t="shared" si="1" ref="K32:W32">K30+K31</f>
        <v>1737.97</v>
      </c>
      <c r="L32" s="216">
        <f t="shared" si="1"/>
        <v>1737.97</v>
      </c>
      <c r="M32" s="216">
        <f t="shared" si="1"/>
        <v>1698.12</v>
      </c>
      <c r="N32" s="216">
        <f t="shared" si="1"/>
        <v>1729.21</v>
      </c>
      <c r="O32" s="216">
        <f t="shared" si="1"/>
        <v>1772.78</v>
      </c>
      <c r="P32" s="216">
        <f t="shared" si="1"/>
        <v>1703.02</v>
      </c>
      <c r="Q32" s="216">
        <f t="shared" si="1"/>
        <v>1694.92</v>
      </c>
      <c r="R32" s="216">
        <f t="shared" si="1"/>
        <v>1713.1699999999998</v>
      </c>
      <c r="S32" s="216">
        <f t="shared" si="1"/>
        <v>1720.88</v>
      </c>
      <c r="T32" s="216">
        <f t="shared" si="1"/>
        <v>1726.5800000000002</v>
      </c>
      <c r="U32" s="216">
        <f t="shared" si="1"/>
        <v>1678.1000000000001</v>
      </c>
      <c r="V32" s="216">
        <f t="shared" si="1"/>
        <v>1776.4499999999998</v>
      </c>
      <c r="W32" s="216">
        <f t="shared" si="1"/>
        <v>1886.0900000000001</v>
      </c>
      <c r="X32" s="216">
        <v>1912.66</v>
      </c>
      <c r="Y32" s="216">
        <v>1826.48</v>
      </c>
      <c r="Z32" s="216">
        <v>1880.96</v>
      </c>
      <c r="AA32" s="216">
        <v>1867.42</v>
      </c>
      <c r="AB32" s="216">
        <v>1635.46</v>
      </c>
      <c r="AC32" s="216">
        <v>1641.61</v>
      </c>
      <c r="AD32" s="216">
        <v>1584.99</v>
      </c>
      <c r="AE32" s="216">
        <v>1500.71</v>
      </c>
      <c r="AF32" s="215"/>
      <c r="AG32" s="333">
        <f>(AE32-AD32)/AD32</f>
        <v>-0.05317383705890887</v>
      </c>
      <c r="AH32" s="213"/>
    </row>
    <row r="33" spans="1:34" ht="12.75">
      <c r="A33" s="374"/>
      <c r="B33" s="245"/>
      <c r="C33" s="241"/>
      <c r="D33" s="242"/>
      <c r="E33" s="242"/>
      <c r="F33" s="242"/>
      <c r="G33" s="242"/>
      <c r="H33" s="243"/>
      <c r="I33" s="243"/>
      <c r="J33" s="243"/>
      <c r="K33" s="243"/>
      <c r="L33" s="243"/>
      <c r="M33" s="243"/>
      <c r="N33" s="243"/>
      <c r="O33" s="243"/>
      <c r="P33" s="243"/>
      <c r="Q33" s="243"/>
      <c r="R33" s="242"/>
      <c r="S33" s="242"/>
      <c r="T33" s="242"/>
      <c r="U33" s="242"/>
      <c r="V33" s="242"/>
      <c r="W33" s="242"/>
      <c r="X33" s="242"/>
      <c r="Y33" s="242"/>
      <c r="Z33" s="242"/>
      <c r="AA33" s="242"/>
      <c r="AB33" s="242"/>
      <c r="AC33" s="242"/>
      <c r="AD33" s="242"/>
      <c r="AE33" s="242"/>
      <c r="AF33" s="243">
        <f>SUM(AE26:AE32)</f>
        <v>43896.48</v>
      </c>
      <c r="AG33" s="330"/>
      <c r="AH33" s="241"/>
    </row>
    <row r="34" spans="1:34" ht="12.75">
      <c r="A34" s="244" t="s">
        <v>685</v>
      </c>
      <c r="B34" s="229" t="s">
        <v>711</v>
      </c>
      <c r="C34" s="237" t="s">
        <v>712</v>
      </c>
      <c r="D34" s="230">
        <v>381</v>
      </c>
      <c r="E34" s="230">
        <v>423.9</v>
      </c>
      <c r="F34" s="230">
        <v>397</v>
      </c>
      <c r="G34" s="230">
        <v>407</v>
      </c>
      <c r="H34" s="238">
        <v>420</v>
      </c>
      <c r="I34" s="238">
        <v>444</v>
      </c>
      <c r="J34" s="238">
        <v>391</v>
      </c>
      <c r="K34" s="238">
        <v>396.57</v>
      </c>
      <c r="L34" s="248">
        <v>355.23</v>
      </c>
      <c r="M34" s="248">
        <f>189+179</f>
        <v>368</v>
      </c>
      <c r="N34" s="248">
        <v>325.75</v>
      </c>
      <c r="O34" s="248">
        <v>311.05</v>
      </c>
      <c r="P34" s="248">
        <v>290.65</v>
      </c>
      <c r="Q34" s="248">
        <v>287.5</v>
      </c>
      <c r="R34" s="248">
        <v>298.35</v>
      </c>
      <c r="S34" s="215">
        <v>291.29</v>
      </c>
      <c r="T34" s="216">
        <v>282.35</v>
      </c>
      <c r="U34" s="216">
        <v>288.85</v>
      </c>
      <c r="V34" s="216">
        <v>267.55</v>
      </c>
      <c r="W34" s="216">
        <v>276.75</v>
      </c>
      <c r="X34" s="216">
        <v>275.75</v>
      </c>
      <c r="Y34" s="216">
        <v>275.7</v>
      </c>
      <c r="Z34" s="216">
        <v>290.45</v>
      </c>
      <c r="AA34" s="216">
        <v>288.59</v>
      </c>
      <c r="AB34" s="216">
        <v>295.52</v>
      </c>
      <c r="AC34" s="216">
        <v>300.8</v>
      </c>
      <c r="AD34" s="216">
        <v>301.05</v>
      </c>
      <c r="AE34" s="216">
        <v>316.4</v>
      </c>
      <c r="AF34" s="215"/>
      <c r="AG34" s="333">
        <f>(AE34-AD34)/AD34</f>
        <v>0.05098820793888047</v>
      </c>
      <c r="AH34" s="213"/>
    </row>
    <row r="35" spans="1:34" ht="12.75">
      <c r="A35" s="374"/>
      <c r="B35" s="245"/>
      <c r="C35" s="241"/>
      <c r="D35" s="242"/>
      <c r="E35" s="242"/>
      <c r="F35" s="242"/>
      <c r="G35" s="242"/>
      <c r="H35" s="243"/>
      <c r="I35" s="243"/>
      <c r="J35" s="243"/>
      <c r="K35" s="243"/>
      <c r="L35" s="243"/>
      <c r="M35" s="243"/>
      <c r="N35" s="243"/>
      <c r="O35" s="243"/>
      <c r="P35" s="243"/>
      <c r="Q35" s="243"/>
      <c r="R35" s="243"/>
      <c r="S35" s="246"/>
      <c r="T35" s="246"/>
      <c r="U35" s="246"/>
      <c r="V35" s="246"/>
      <c r="W35" s="246"/>
      <c r="X35" s="246"/>
      <c r="Y35" s="246"/>
      <c r="Z35" s="246"/>
      <c r="AA35" s="246"/>
      <c r="AB35" s="246"/>
      <c r="AC35" s="246"/>
      <c r="AD35" s="246"/>
      <c r="AE35" s="246"/>
      <c r="AF35" s="246">
        <f>AE34</f>
        <v>316.4</v>
      </c>
      <c r="AG35" s="330"/>
      <c r="AH35" s="241"/>
    </row>
    <row r="36" spans="1:34" ht="12.75">
      <c r="A36" s="244" t="s">
        <v>685</v>
      </c>
      <c r="B36" s="229" t="s">
        <v>407</v>
      </c>
      <c r="C36" s="237" t="s">
        <v>713</v>
      </c>
      <c r="D36" s="230">
        <v>59</v>
      </c>
      <c r="E36" s="230">
        <v>69</v>
      </c>
      <c r="F36" s="230">
        <v>75.4</v>
      </c>
      <c r="G36" s="230">
        <v>77</v>
      </c>
      <c r="H36" s="238">
        <v>85.55</v>
      </c>
      <c r="I36" s="238">
        <v>96.3</v>
      </c>
      <c r="J36" s="238">
        <v>94.45</v>
      </c>
      <c r="K36" s="238">
        <v>106.8</v>
      </c>
      <c r="L36" s="238">
        <v>101.55</v>
      </c>
      <c r="M36" s="238">
        <v>100.15</v>
      </c>
      <c r="N36" s="238">
        <v>98.8</v>
      </c>
      <c r="O36" s="238">
        <v>100</v>
      </c>
      <c r="P36" s="238">
        <v>99.45</v>
      </c>
      <c r="Q36" s="238">
        <v>103.4</v>
      </c>
      <c r="R36" s="238">
        <v>108.35</v>
      </c>
      <c r="S36" s="215">
        <v>107.25</v>
      </c>
      <c r="T36" s="216">
        <v>103.9</v>
      </c>
      <c r="U36" s="216">
        <v>110</v>
      </c>
      <c r="V36" s="216">
        <v>109.5</v>
      </c>
      <c r="W36" s="216">
        <v>113</v>
      </c>
      <c r="X36" s="216">
        <v>116.25</v>
      </c>
      <c r="Y36" s="216">
        <v>114.05</v>
      </c>
      <c r="Z36" s="216">
        <v>118.4</v>
      </c>
      <c r="AA36" s="216">
        <v>112.35</v>
      </c>
      <c r="AB36" s="216">
        <v>109.9</v>
      </c>
      <c r="AC36" s="216">
        <v>130.55</v>
      </c>
      <c r="AD36" s="216">
        <v>132.5</v>
      </c>
      <c r="AE36" s="216">
        <v>143.05</v>
      </c>
      <c r="AF36" s="215"/>
      <c r="AG36" s="333">
        <f aca="true" t="shared" si="2" ref="AG36:AG50">(AE36-AD36)/AD36</f>
        <v>0.07962264150943404</v>
      </c>
      <c r="AH36" s="213"/>
    </row>
    <row r="37" spans="1:34" ht="12.75">
      <c r="A37" s="373"/>
      <c r="B37" s="229"/>
      <c r="C37" s="237" t="s">
        <v>714</v>
      </c>
      <c r="D37" s="230">
        <v>56</v>
      </c>
      <c r="E37" s="230">
        <v>50.2</v>
      </c>
      <c r="F37" s="230">
        <v>59.15</v>
      </c>
      <c r="G37" s="230">
        <v>62.95</v>
      </c>
      <c r="H37" s="238">
        <v>55.55</v>
      </c>
      <c r="I37" s="238">
        <v>48.9</v>
      </c>
      <c r="J37" s="238">
        <v>57.4</v>
      </c>
      <c r="K37" s="238">
        <v>60.1</v>
      </c>
      <c r="L37" s="238">
        <v>52.2</v>
      </c>
      <c r="M37" s="238">
        <v>45.4</v>
      </c>
      <c r="N37" s="238">
        <v>49.8</v>
      </c>
      <c r="O37" s="238">
        <v>39.05</v>
      </c>
      <c r="P37" s="238">
        <v>37.6</v>
      </c>
      <c r="Q37" s="238">
        <v>41</v>
      </c>
      <c r="R37" s="238">
        <v>42</v>
      </c>
      <c r="S37" s="215">
        <v>38.75</v>
      </c>
      <c r="T37" s="216">
        <v>37.55</v>
      </c>
      <c r="U37" s="216">
        <v>31</v>
      </c>
      <c r="V37" s="216">
        <v>26.85</v>
      </c>
      <c r="W37" s="216">
        <v>32.3</v>
      </c>
      <c r="X37" s="216">
        <v>26</v>
      </c>
      <c r="Y37" s="216">
        <v>31.55</v>
      </c>
      <c r="Z37" s="216">
        <v>33.8</v>
      </c>
      <c r="AA37" s="216">
        <v>20.85</v>
      </c>
      <c r="AB37" s="216">
        <v>19.65</v>
      </c>
      <c r="AC37" s="216">
        <v>17.75</v>
      </c>
      <c r="AD37" s="216">
        <v>33.4</v>
      </c>
      <c r="AE37" s="216">
        <v>21.15</v>
      </c>
      <c r="AF37" s="215"/>
      <c r="AG37" s="333">
        <f t="shared" si="2"/>
        <v>-0.3667664670658683</v>
      </c>
      <c r="AH37" s="213"/>
    </row>
    <row r="38" spans="1:34" ht="12.75">
      <c r="A38" s="373"/>
      <c r="B38" s="229"/>
      <c r="C38" s="237" t="s">
        <v>715</v>
      </c>
      <c r="D38" s="230">
        <v>82.6</v>
      </c>
      <c r="E38" s="230">
        <v>77.25</v>
      </c>
      <c r="F38" s="230">
        <v>79.5</v>
      </c>
      <c r="G38" s="230">
        <v>95</v>
      </c>
      <c r="H38" s="238">
        <v>93.1</v>
      </c>
      <c r="I38" s="238">
        <v>95.05</v>
      </c>
      <c r="J38" s="238">
        <v>96.8</v>
      </c>
      <c r="K38" s="238">
        <v>102</v>
      </c>
      <c r="L38" s="238">
        <v>96.1</v>
      </c>
      <c r="M38" s="238">
        <v>97.35</v>
      </c>
      <c r="N38" s="238">
        <v>101</v>
      </c>
      <c r="O38" s="238">
        <v>96.1</v>
      </c>
      <c r="P38" s="238">
        <v>97</v>
      </c>
      <c r="Q38" s="238">
        <v>95.1</v>
      </c>
      <c r="R38" s="238">
        <v>82</v>
      </c>
      <c r="S38" s="215">
        <v>81.9</v>
      </c>
      <c r="T38" s="216">
        <v>85.45</v>
      </c>
      <c r="U38" s="216">
        <v>76</v>
      </c>
      <c r="V38" s="216">
        <v>75.3</v>
      </c>
      <c r="W38" s="216">
        <v>80.8</v>
      </c>
      <c r="X38" s="216">
        <v>80.25</v>
      </c>
      <c r="Y38" s="216">
        <v>88</v>
      </c>
      <c r="Z38" s="216">
        <v>85</v>
      </c>
      <c r="AA38" s="216">
        <v>85.25</v>
      </c>
      <c r="AB38" s="216">
        <v>103.9</v>
      </c>
      <c r="AC38" s="216">
        <v>97.75</v>
      </c>
      <c r="AD38" s="216">
        <v>103.2</v>
      </c>
      <c r="AE38" s="216">
        <v>110</v>
      </c>
      <c r="AF38" s="215"/>
      <c r="AG38" s="333">
        <f t="shared" si="2"/>
        <v>0.06589147286821702</v>
      </c>
      <c r="AH38" s="213"/>
    </row>
    <row r="39" spans="1:34" ht="12.75">
      <c r="A39" s="373"/>
      <c r="B39" s="229"/>
      <c r="C39" s="237" t="s">
        <v>716</v>
      </c>
      <c r="D39" s="230">
        <v>136.85</v>
      </c>
      <c r="E39" s="230">
        <v>159.8</v>
      </c>
      <c r="F39" s="230">
        <v>172</v>
      </c>
      <c r="G39" s="230">
        <v>166.3</v>
      </c>
      <c r="H39" s="238">
        <v>179.15</v>
      </c>
      <c r="I39" s="238">
        <v>185.7</v>
      </c>
      <c r="J39" s="238">
        <v>185.9</v>
      </c>
      <c r="K39" s="238">
        <v>190.1</v>
      </c>
      <c r="L39" s="238">
        <v>190.95</v>
      </c>
      <c r="M39" s="238">
        <v>196</v>
      </c>
      <c r="N39" s="238">
        <v>190.05</v>
      </c>
      <c r="O39" s="238">
        <v>189</v>
      </c>
      <c r="P39" s="238">
        <v>173.2</v>
      </c>
      <c r="Q39" s="238">
        <v>171.75</v>
      </c>
      <c r="R39" s="238">
        <v>176.2</v>
      </c>
      <c r="S39" s="215">
        <v>179.5</v>
      </c>
      <c r="T39" s="216">
        <v>173.9</v>
      </c>
      <c r="U39" s="216">
        <v>182.25</v>
      </c>
      <c r="V39" s="216">
        <v>186.45</v>
      </c>
      <c r="W39" s="216">
        <v>184.7</v>
      </c>
      <c r="X39" s="216">
        <v>190</v>
      </c>
      <c r="Y39" s="216">
        <v>185.5</v>
      </c>
      <c r="Z39" s="216">
        <v>193</v>
      </c>
      <c r="AA39" s="216">
        <v>185.75</v>
      </c>
      <c r="AB39" s="216">
        <v>174.6</v>
      </c>
      <c r="AC39" s="216">
        <v>167.7</v>
      </c>
      <c r="AD39" s="216">
        <v>179.9</v>
      </c>
      <c r="AE39" s="216">
        <v>174</v>
      </c>
      <c r="AF39" s="215"/>
      <c r="AG39" s="333">
        <f t="shared" si="2"/>
        <v>-0.03279599777654255</v>
      </c>
      <c r="AH39" s="213"/>
    </row>
    <row r="40" spans="1:34" ht="12.75">
      <c r="A40" s="373"/>
      <c r="B40" s="229"/>
      <c r="C40" s="237" t="s">
        <v>717</v>
      </c>
      <c r="D40" s="230">
        <v>36.7</v>
      </c>
      <c r="E40" s="230">
        <v>39</v>
      </c>
      <c r="F40" s="230">
        <v>44</v>
      </c>
      <c r="G40" s="230">
        <v>46.3</v>
      </c>
      <c r="H40" s="238">
        <v>51</v>
      </c>
      <c r="I40" s="238">
        <v>59.45</v>
      </c>
      <c r="J40" s="238">
        <v>51</v>
      </c>
      <c r="K40" s="238">
        <v>53</v>
      </c>
      <c r="L40" s="238">
        <v>52</v>
      </c>
      <c r="M40" s="238">
        <v>44</v>
      </c>
      <c r="N40" s="238">
        <v>47.8</v>
      </c>
      <c r="O40" s="238">
        <v>51</v>
      </c>
      <c r="P40" s="238">
        <v>50</v>
      </c>
      <c r="Q40" s="238">
        <v>49.4</v>
      </c>
      <c r="R40" s="238">
        <v>52</v>
      </c>
      <c r="S40" s="215">
        <v>49</v>
      </c>
      <c r="T40" s="216">
        <v>49</v>
      </c>
      <c r="U40" s="216">
        <v>42</v>
      </c>
      <c r="V40" s="216">
        <v>46.4</v>
      </c>
      <c r="W40" s="216">
        <v>45</v>
      </c>
      <c r="X40" s="216">
        <v>45</v>
      </c>
      <c r="Y40" s="216">
        <v>53.5</v>
      </c>
      <c r="Z40" s="216">
        <v>49</v>
      </c>
      <c r="AA40" s="216">
        <v>46</v>
      </c>
      <c r="AB40" s="216">
        <v>49</v>
      </c>
      <c r="AC40" s="216">
        <v>45.3</v>
      </c>
      <c r="AD40" s="216">
        <v>45.2</v>
      </c>
      <c r="AE40" s="216">
        <v>45</v>
      </c>
      <c r="AF40" s="215"/>
      <c r="AG40" s="333">
        <f t="shared" si="2"/>
        <v>-0.004424778761062009</v>
      </c>
      <c r="AH40" s="213"/>
    </row>
    <row r="41" spans="1:34" ht="12.75">
      <c r="A41" s="373"/>
      <c r="B41" s="229"/>
      <c r="C41" s="237" t="s">
        <v>718</v>
      </c>
      <c r="D41" s="230">
        <v>73</v>
      </c>
      <c r="E41" s="230">
        <v>67</v>
      </c>
      <c r="F41" s="230">
        <v>76.25</v>
      </c>
      <c r="G41" s="230">
        <v>75</v>
      </c>
      <c r="H41" s="238">
        <v>79.8</v>
      </c>
      <c r="I41" s="238">
        <v>82.8</v>
      </c>
      <c r="J41" s="238">
        <v>86.9</v>
      </c>
      <c r="K41" s="238">
        <v>102.6</v>
      </c>
      <c r="L41" s="238">
        <v>98.5</v>
      </c>
      <c r="M41" s="238">
        <v>99.35</v>
      </c>
      <c r="N41" s="238">
        <v>108</v>
      </c>
      <c r="O41" s="238">
        <v>104</v>
      </c>
      <c r="P41" s="238">
        <v>119.55</v>
      </c>
      <c r="Q41" s="238">
        <v>115.5</v>
      </c>
      <c r="R41" s="238">
        <v>116.05</v>
      </c>
      <c r="S41" s="215">
        <v>111</v>
      </c>
      <c r="T41" s="216">
        <v>121.65</v>
      </c>
      <c r="U41" s="216">
        <v>110</v>
      </c>
      <c r="V41" s="216">
        <v>106.7</v>
      </c>
      <c r="W41" s="216">
        <v>101.85</v>
      </c>
      <c r="X41" s="216">
        <v>95</v>
      </c>
      <c r="Y41" s="216">
        <v>90</v>
      </c>
      <c r="Z41" s="216">
        <v>94</v>
      </c>
      <c r="AA41" s="216">
        <v>96.6</v>
      </c>
      <c r="AB41" s="216">
        <v>101.25</v>
      </c>
      <c r="AC41" s="216">
        <v>98</v>
      </c>
      <c r="AD41" s="216">
        <v>88.55</v>
      </c>
      <c r="AE41" s="216">
        <v>99.45</v>
      </c>
      <c r="AF41" s="215"/>
      <c r="AG41" s="333">
        <f t="shared" si="2"/>
        <v>0.12309429700734055</v>
      </c>
      <c r="AH41" s="213"/>
    </row>
    <row r="42" spans="1:34" ht="12.75">
      <c r="A42" s="373"/>
      <c r="B42" s="229"/>
      <c r="C42" s="237" t="s">
        <v>719</v>
      </c>
      <c r="D42" s="230">
        <v>133.1</v>
      </c>
      <c r="E42" s="230">
        <v>137.75</v>
      </c>
      <c r="F42" s="230">
        <v>132.2</v>
      </c>
      <c r="G42" s="230">
        <v>130.2</v>
      </c>
      <c r="H42" s="238">
        <v>143.3</v>
      </c>
      <c r="I42" s="238">
        <v>152.75</v>
      </c>
      <c r="J42" s="238">
        <v>152.4</v>
      </c>
      <c r="K42" s="238">
        <v>169.75</v>
      </c>
      <c r="L42" s="238">
        <v>185.7</v>
      </c>
      <c r="M42" s="238">
        <v>183.55</v>
      </c>
      <c r="N42" s="238">
        <v>185.65</v>
      </c>
      <c r="O42" s="238">
        <v>194.75</v>
      </c>
      <c r="P42" s="238">
        <v>198.85</v>
      </c>
      <c r="Q42" s="238">
        <v>202.2</v>
      </c>
      <c r="R42" s="238">
        <v>220.3</v>
      </c>
      <c r="S42" s="215">
        <v>217.65</v>
      </c>
      <c r="T42" s="216">
        <v>218.25</v>
      </c>
      <c r="U42" s="216">
        <v>226</v>
      </c>
      <c r="V42" s="216">
        <v>230.65</v>
      </c>
      <c r="W42" s="216">
        <v>219</v>
      </c>
      <c r="X42" s="216">
        <v>226</v>
      </c>
      <c r="Y42" s="216">
        <v>203.85</v>
      </c>
      <c r="Z42" s="216">
        <v>212.85</v>
      </c>
      <c r="AA42" s="216">
        <v>204.25</v>
      </c>
      <c r="AB42" s="216">
        <v>207.6</v>
      </c>
      <c r="AC42" s="216">
        <v>219.2</v>
      </c>
      <c r="AD42" s="216">
        <v>229.75</v>
      </c>
      <c r="AE42" s="216">
        <v>252.7</v>
      </c>
      <c r="AF42" s="215"/>
      <c r="AG42" s="333">
        <f t="shared" si="2"/>
        <v>0.09989118607181714</v>
      </c>
      <c r="AH42" s="213"/>
    </row>
    <row r="43" spans="1:34" ht="12.75">
      <c r="A43" s="373"/>
      <c r="B43" s="229"/>
      <c r="C43" s="237" t="s">
        <v>720</v>
      </c>
      <c r="D43" s="230">
        <v>49</v>
      </c>
      <c r="E43" s="230">
        <v>61</v>
      </c>
      <c r="F43" s="230">
        <v>54.4</v>
      </c>
      <c r="G43" s="230">
        <v>63.7</v>
      </c>
      <c r="H43" s="238">
        <v>69.8</v>
      </c>
      <c r="I43" s="238">
        <v>70.5</v>
      </c>
      <c r="J43" s="238">
        <v>68.25</v>
      </c>
      <c r="K43" s="238">
        <v>74.6</v>
      </c>
      <c r="L43" s="238">
        <v>67.85</v>
      </c>
      <c r="M43" s="238">
        <v>71.8</v>
      </c>
      <c r="N43" s="238">
        <v>68.5</v>
      </c>
      <c r="O43" s="238">
        <v>57.3</v>
      </c>
      <c r="P43" s="238">
        <v>56.9</v>
      </c>
      <c r="Q43" s="238">
        <v>53</v>
      </c>
      <c r="R43" s="238">
        <v>55</v>
      </c>
      <c r="S43" s="215">
        <v>49.25</v>
      </c>
      <c r="T43" s="216">
        <v>44</v>
      </c>
      <c r="U43" s="216">
        <v>47</v>
      </c>
      <c r="V43" s="216">
        <v>49.85</v>
      </c>
      <c r="W43" s="216">
        <v>57.25</v>
      </c>
      <c r="X43" s="216">
        <v>55</v>
      </c>
      <c r="Y43" s="216">
        <v>64.4</v>
      </c>
      <c r="Z43" s="216">
        <v>70.8</v>
      </c>
      <c r="AA43" s="216">
        <v>70.75</v>
      </c>
      <c r="AB43" s="216">
        <v>68.1</v>
      </c>
      <c r="AC43" s="216">
        <v>81</v>
      </c>
      <c r="AD43" s="216">
        <v>79.9</v>
      </c>
      <c r="AE43" s="216">
        <v>83.65</v>
      </c>
      <c r="AF43" s="215"/>
      <c r="AG43" s="333">
        <f t="shared" si="2"/>
        <v>0.04693366708385482</v>
      </c>
      <c r="AH43" s="213"/>
    </row>
    <row r="44" spans="1:34" ht="12.75">
      <c r="A44" s="373"/>
      <c r="B44" s="229"/>
      <c r="C44" s="237" t="s">
        <v>721</v>
      </c>
      <c r="D44" s="230">
        <v>158</v>
      </c>
      <c r="E44" s="230">
        <v>160.85</v>
      </c>
      <c r="F44" s="230">
        <v>164.5</v>
      </c>
      <c r="G44" s="230">
        <v>174.35</v>
      </c>
      <c r="H44" s="238">
        <v>174.9</v>
      </c>
      <c r="I44" s="238">
        <v>176.2</v>
      </c>
      <c r="J44" s="238">
        <v>175.9</v>
      </c>
      <c r="K44" s="238">
        <v>163.75</v>
      </c>
      <c r="L44" s="238">
        <v>179.75</v>
      </c>
      <c r="M44" s="238">
        <v>182.85</v>
      </c>
      <c r="N44" s="238">
        <v>180</v>
      </c>
      <c r="O44" s="238">
        <v>179</v>
      </c>
      <c r="P44" s="238">
        <v>171.95</v>
      </c>
      <c r="Q44" s="238">
        <v>173.4</v>
      </c>
      <c r="R44" s="238">
        <v>164</v>
      </c>
      <c r="S44" s="215">
        <v>173.1</v>
      </c>
      <c r="T44" s="216">
        <v>173.05</v>
      </c>
      <c r="U44" s="216">
        <v>174.9</v>
      </c>
      <c r="V44" s="216">
        <v>173.1</v>
      </c>
      <c r="W44" s="216">
        <v>180.5</v>
      </c>
      <c r="X44" s="216">
        <v>174</v>
      </c>
      <c r="Y44" s="216">
        <v>177</v>
      </c>
      <c r="Z44" s="216">
        <v>185.6</v>
      </c>
      <c r="AA44" s="216">
        <v>193.35</v>
      </c>
      <c r="AB44" s="216">
        <v>182.6</v>
      </c>
      <c r="AC44" s="216">
        <v>186.4</v>
      </c>
      <c r="AD44" s="216">
        <v>176.55</v>
      </c>
      <c r="AE44" s="216">
        <v>180</v>
      </c>
      <c r="AF44" s="215"/>
      <c r="AG44" s="333">
        <f t="shared" si="2"/>
        <v>0.019541206457094243</v>
      </c>
      <c r="AH44" s="213"/>
    </row>
    <row r="45" spans="1:34" ht="12.75">
      <c r="A45" s="373"/>
      <c r="B45" s="229"/>
      <c r="C45" s="237" t="s">
        <v>722</v>
      </c>
      <c r="D45" s="230">
        <v>99</v>
      </c>
      <c r="E45" s="230">
        <v>103.75</v>
      </c>
      <c r="F45" s="230">
        <v>96.1</v>
      </c>
      <c r="G45" s="230">
        <v>108.25</v>
      </c>
      <c r="H45" s="238">
        <v>116.2</v>
      </c>
      <c r="I45" s="238">
        <v>118.15</v>
      </c>
      <c r="J45" s="238">
        <v>121</v>
      </c>
      <c r="K45" s="238">
        <v>119.5</v>
      </c>
      <c r="L45" s="238">
        <v>124.5</v>
      </c>
      <c r="M45" s="238">
        <v>126.5</v>
      </c>
      <c r="N45" s="238">
        <v>120.55</v>
      </c>
      <c r="O45" s="238">
        <v>126</v>
      </c>
      <c r="P45" s="238">
        <v>142.8</v>
      </c>
      <c r="Q45" s="238">
        <v>136.25</v>
      </c>
      <c r="R45" s="238">
        <v>146.3</v>
      </c>
      <c r="S45" s="215">
        <v>135.35</v>
      </c>
      <c r="T45" s="216">
        <v>144.7</v>
      </c>
      <c r="U45" s="216">
        <v>140.2</v>
      </c>
      <c r="V45" s="216">
        <v>145.1</v>
      </c>
      <c r="W45" s="216">
        <v>148.95</v>
      </c>
      <c r="X45" s="216">
        <v>145.75</v>
      </c>
      <c r="Y45" s="216">
        <v>141.45</v>
      </c>
      <c r="Z45" s="216">
        <v>155</v>
      </c>
      <c r="AA45" s="216">
        <v>158.9</v>
      </c>
      <c r="AB45" s="216">
        <v>153.55</v>
      </c>
      <c r="AC45" s="216">
        <v>160.8</v>
      </c>
      <c r="AD45" s="216">
        <v>167.85</v>
      </c>
      <c r="AE45" s="216">
        <v>142.75</v>
      </c>
      <c r="AF45" s="215"/>
      <c r="AG45" s="333">
        <f t="shared" si="2"/>
        <v>-0.14953827822460528</v>
      </c>
      <c r="AH45" s="213"/>
    </row>
    <row r="46" spans="1:34" ht="12.75">
      <c r="A46" s="373"/>
      <c r="B46" s="229"/>
      <c r="C46" s="237" t="s">
        <v>723</v>
      </c>
      <c r="D46" s="230">
        <v>128.45</v>
      </c>
      <c r="E46" s="230">
        <v>141.7</v>
      </c>
      <c r="F46" s="230">
        <v>140.7</v>
      </c>
      <c r="G46" s="230">
        <v>150.35</v>
      </c>
      <c r="H46" s="238">
        <v>140.6</v>
      </c>
      <c r="I46" s="238">
        <v>162</v>
      </c>
      <c r="J46" s="238">
        <v>178.25</v>
      </c>
      <c r="K46" s="238">
        <v>183.6</v>
      </c>
      <c r="L46" s="238">
        <v>191.2</v>
      </c>
      <c r="M46" s="238">
        <v>196.6</v>
      </c>
      <c r="N46" s="238">
        <v>198.15</v>
      </c>
      <c r="O46" s="238">
        <v>207.65</v>
      </c>
      <c r="P46" s="238">
        <v>200.55</v>
      </c>
      <c r="Q46" s="238">
        <v>198.8</v>
      </c>
      <c r="R46" s="238">
        <v>191.3</v>
      </c>
      <c r="S46" s="215">
        <v>187.75</v>
      </c>
      <c r="T46" s="216">
        <v>191.8</v>
      </c>
      <c r="U46" s="216">
        <v>186</v>
      </c>
      <c r="V46" s="216">
        <v>192.15</v>
      </c>
      <c r="W46" s="216">
        <v>175.95</v>
      </c>
      <c r="X46" s="216">
        <v>192.75</v>
      </c>
      <c r="Y46" s="216">
        <v>169.55</v>
      </c>
      <c r="Z46" s="216">
        <v>174.6</v>
      </c>
      <c r="AA46" s="216">
        <v>185.15</v>
      </c>
      <c r="AB46" s="216">
        <v>179.4</v>
      </c>
      <c r="AC46" s="216">
        <v>169.15</v>
      </c>
      <c r="AD46" s="216">
        <v>194.25</v>
      </c>
      <c r="AE46" s="216">
        <v>196.55</v>
      </c>
      <c r="AF46" s="215"/>
      <c r="AG46" s="333">
        <f t="shared" si="2"/>
        <v>0.011840411840411898</v>
      </c>
      <c r="AH46" s="213"/>
    </row>
    <row r="47" spans="1:34" ht="12.75">
      <c r="A47" s="373"/>
      <c r="B47" s="229"/>
      <c r="C47" s="237" t="s">
        <v>724</v>
      </c>
      <c r="D47" s="230">
        <v>68.55</v>
      </c>
      <c r="E47" s="230">
        <v>62.1</v>
      </c>
      <c r="F47" s="230">
        <v>79.1</v>
      </c>
      <c r="G47" s="230">
        <v>80.75</v>
      </c>
      <c r="H47" s="238">
        <v>83.4</v>
      </c>
      <c r="I47" s="238">
        <v>87.25</v>
      </c>
      <c r="J47" s="238">
        <v>76.2</v>
      </c>
      <c r="K47" s="238">
        <v>79.15</v>
      </c>
      <c r="L47" s="238">
        <v>71.05</v>
      </c>
      <c r="M47" s="238">
        <v>71.95</v>
      </c>
      <c r="N47" s="238">
        <v>75.15</v>
      </c>
      <c r="O47" s="238">
        <v>73.7</v>
      </c>
      <c r="P47" s="238">
        <v>75.2</v>
      </c>
      <c r="Q47" s="238">
        <v>73.75</v>
      </c>
      <c r="R47" s="238">
        <v>78.35</v>
      </c>
      <c r="S47" s="215">
        <v>77.6</v>
      </c>
      <c r="T47" s="216">
        <v>73.95</v>
      </c>
      <c r="U47" s="216">
        <v>75.45</v>
      </c>
      <c r="V47" s="216">
        <v>63.65</v>
      </c>
      <c r="W47" s="216">
        <v>66.5</v>
      </c>
      <c r="X47" s="216">
        <v>66.75</v>
      </c>
      <c r="Y47" s="216">
        <v>65.05</v>
      </c>
      <c r="Z47" s="216">
        <v>67</v>
      </c>
      <c r="AA47" s="216">
        <v>62.45</v>
      </c>
      <c r="AB47" s="216">
        <v>68.5</v>
      </c>
      <c r="AC47" s="216">
        <v>68.9</v>
      </c>
      <c r="AD47" s="216">
        <v>67.7</v>
      </c>
      <c r="AE47" s="216">
        <v>73</v>
      </c>
      <c r="AF47" s="215"/>
      <c r="AG47" s="333">
        <f t="shared" si="2"/>
        <v>0.07828655834564249</v>
      </c>
      <c r="AH47" s="213"/>
    </row>
    <row r="48" spans="1:34" ht="12.75">
      <c r="A48" s="373"/>
      <c r="B48" s="229"/>
      <c r="C48" s="237" t="s">
        <v>725</v>
      </c>
      <c r="D48" s="230">
        <v>196</v>
      </c>
      <c r="E48" s="230">
        <v>216.25</v>
      </c>
      <c r="F48" s="230">
        <v>210.5</v>
      </c>
      <c r="G48" s="230">
        <v>208.25</v>
      </c>
      <c r="H48" s="238">
        <v>216.6</v>
      </c>
      <c r="I48" s="238">
        <v>222.3</v>
      </c>
      <c r="J48" s="238">
        <v>236.75</v>
      </c>
      <c r="K48" s="238">
        <v>231</v>
      </c>
      <c r="L48" s="238">
        <v>251.1</v>
      </c>
      <c r="M48" s="238">
        <v>236.45</v>
      </c>
      <c r="N48" s="238">
        <v>219.5</v>
      </c>
      <c r="O48" s="238">
        <v>203.1</v>
      </c>
      <c r="P48" s="238">
        <v>206.6</v>
      </c>
      <c r="Q48" s="238">
        <v>190.55</v>
      </c>
      <c r="R48" s="238">
        <v>179</v>
      </c>
      <c r="S48" s="215">
        <v>175.15</v>
      </c>
      <c r="T48" s="216">
        <v>171.85</v>
      </c>
      <c r="U48" s="216">
        <v>167.3</v>
      </c>
      <c r="V48" s="216">
        <v>163.25</v>
      </c>
      <c r="W48" s="216">
        <v>156.25</v>
      </c>
      <c r="X48" s="216">
        <v>159.1</v>
      </c>
      <c r="Y48" s="216">
        <v>139.65</v>
      </c>
      <c r="Z48" s="216">
        <v>153.1</v>
      </c>
      <c r="AA48" s="216">
        <v>161.9</v>
      </c>
      <c r="AB48" s="216">
        <v>160.5</v>
      </c>
      <c r="AC48" s="216">
        <v>167.85</v>
      </c>
      <c r="AD48" s="216">
        <v>174.85</v>
      </c>
      <c r="AE48" s="216">
        <v>165</v>
      </c>
      <c r="AF48" s="215"/>
      <c r="AG48" s="333">
        <f t="shared" si="2"/>
        <v>-0.05633400057191876</v>
      </c>
      <c r="AH48" s="213"/>
    </row>
    <row r="49" spans="1:34" ht="12.75">
      <c r="A49" s="373"/>
      <c r="B49" s="229"/>
      <c r="C49" s="237" t="s">
        <v>726</v>
      </c>
      <c r="D49" s="230">
        <v>36</v>
      </c>
      <c r="E49" s="230">
        <v>40</v>
      </c>
      <c r="F49" s="230">
        <v>47.8</v>
      </c>
      <c r="G49" s="230">
        <v>50.25</v>
      </c>
      <c r="H49" s="238">
        <v>51.75</v>
      </c>
      <c r="I49" s="238">
        <v>57.25</v>
      </c>
      <c r="J49" s="238">
        <v>52.8</v>
      </c>
      <c r="K49" s="238">
        <v>59.75</v>
      </c>
      <c r="L49" s="238">
        <v>55.25</v>
      </c>
      <c r="M49" s="238">
        <v>54.55</v>
      </c>
      <c r="N49" s="238">
        <v>54</v>
      </c>
      <c r="O49" s="238">
        <v>49</v>
      </c>
      <c r="P49" s="238">
        <v>45.9</v>
      </c>
      <c r="Q49" s="238">
        <v>43.65</v>
      </c>
      <c r="R49" s="238">
        <v>36.3</v>
      </c>
      <c r="S49" s="215">
        <v>31.05</v>
      </c>
      <c r="T49" s="216">
        <v>35</v>
      </c>
      <c r="U49" s="216">
        <v>32</v>
      </c>
      <c r="V49" s="216">
        <v>33</v>
      </c>
      <c r="W49" s="216">
        <v>33</v>
      </c>
      <c r="X49" s="216">
        <v>38</v>
      </c>
      <c r="Y49" s="216">
        <v>33</v>
      </c>
      <c r="Z49" s="216">
        <v>33</v>
      </c>
      <c r="AA49" s="216">
        <v>32</v>
      </c>
      <c r="AB49" s="216">
        <v>38.05</v>
      </c>
      <c r="AC49" s="216">
        <v>35.75</v>
      </c>
      <c r="AD49" s="216">
        <v>41</v>
      </c>
      <c r="AE49" s="216">
        <v>42.35</v>
      </c>
      <c r="AF49" s="215"/>
      <c r="AG49" s="333">
        <f t="shared" si="2"/>
        <v>0.03292682926829272</v>
      </c>
      <c r="AH49" s="213"/>
    </row>
    <row r="50" spans="1:34" ht="12.75">
      <c r="A50" s="373"/>
      <c r="B50" s="229"/>
      <c r="C50" s="237" t="s">
        <v>727</v>
      </c>
      <c r="D50" s="230">
        <v>44.05</v>
      </c>
      <c r="E50" s="230">
        <v>48.3</v>
      </c>
      <c r="F50" s="230">
        <v>45.05</v>
      </c>
      <c r="G50" s="230">
        <v>50.5</v>
      </c>
      <c r="H50" s="238">
        <v>60</v>
      </c>
      <c r="I50" s="238">
        <v>64.5</v>
      </c>
      <c r="J50" s="238">
        <v>72</v>
      </c>
      <c r="K50" s="238">
        <v>64</v>
      </c>
      <c r="L50" s="238">
        <v>65.2</v>
      </c>
      <c r="M50" s="238">
        <v>68.95</v>
      </c>
      <c r="N50" s="238">
        <v>63.3</v>
      </c>
      <c r="O50" s="238">
        <v>58.65</v>
      </c>
      <c r="P50" s="238">
        <v>58.3</v>
      </c>
      <c r="Q50" s="238">
        <v>56.25</v>
      </c>
      <c r="R50" s="238">
        <v>52</v>
      </c>
      <c r="S50" s="215">
        <v>54</v>
      </c>
      <c r="T50" s="216">
        <v>48.4</v>
      </c>
      <c r="U50" s="216">
        <v>46.45</v>
      </c>
      <c r="V50" s="216">
        <v>51</v>
      </c>
      <c r="W50" s="216">
        <v>47.8</v>
      </c>
      <c r="X50" s="216">
        <v>43.75</v>
      </c>
      <c r="Y50" s="216">
        <v>37</v>
      </c>
      <c r="Z50" s="216">
        <v>42.4</v>
      </c>
      <c r="AA50" s="216">
        <v>44.8</v>
      </c>
      <c r="AB50" s="216">
        <v>41</v>
      </c>
      <c r="AC50" s="216">
        <v>49</v>
      </c>
      <c r="AD50" s="216">
        <v>55.85</v>
      </c>
      <c r="AE50" s="216">
        <v>56.35</v>
      </c>
      <c r="AF50" s="215"/>
      <c r="AG50" s="333">
        <f t="shared" si="2"/>
        <v>0.008952551477170993</v>
      </c>
      <c r="AH50" s="213"/>
    </row>
    <row r="51" spans="1:34" ht="12.75">
      <c r="A51" s="374"/>
      <c r="B51" s="245"/>
      <c r="C51" s="241"/>
      <c r="D51" s="242"/>
      <c r="E51" s="242"/>
      <c r="F51" s="242"/>
      <c r="G51" s="242"/>
      <c r="H51" s="243"/>
      <c r="I51" s="243"/>
      <c r="J51" s="243"/>
      <c r="K51" s="243"/>
      <c r="L51" s="243"/>
      <c r="M51" s="243"/>
      <c r="N51" s="243"/>
      <c r="O51" s="243"/>
      <c r="P51" s="243"/>
      <c r="Q51" s="243"/>
      <c r="R51" s="242"/>
      <c r="S51" s="242"/>
      <c r="T51" s="242"/>
      <c r="U51" s="242"/>
      <c r="V51" s="242"/>
      <c r="W51" s="242"/>
      <c r="X51" s="242"/>
      <c r="Y51" s="242"/>
      <c r="Z51" s="242"/>
      <c r="AA51" s="242"/>
      <c r="AB51" s="242"/>
      <c r="AC51" s="242"/>
      <c r="AD51" s="242"/>
      <c r="AE51" s="242"/>
      <c r="AF51" s="243">
        <f>SUM(AE36:AE50)</f>
        <v>1784.9999999999998</v>
      </c>
      <c r="AG51" s="330"/>
      <c r="AH51" s="241"/>
    </row>
    <row r="52" spans="1:34" ht="12.75">
      <c r="A52" s="244" t="s">
        <v>697</v>
      </c>
      <c r="B52" s="229" t="s">
        <v>423</v>
      </c>
      <c r="C52" s="237" t="s">
        <v>728</v>
      </c>
      <c r="D52" s="230">
        <v>231</v>
      </c>
      <c r="E52" s="230">
        <v>250.65</v>
      </c>
      <c r="F52" s="230">
        <v>247.35</v>
      </c>
      <c r="G52" s="230">
        <v>255.6</v>
      </c>
      <c r="H52" s="238">
        <v>254.25</v>
      </c>
      <c r="I52" s="238">
        <v>276.5</v>
      </c>
      <c r="J52" s="238">
        <v>297.45</v>
      </c>
      <c r="K52" s="238">
        <v>289</v>
      </c>
      <c r="L52" s="238">
        <v>280.65</v>
      </c>
      <c r="M52" s="238">
        <v>260.6</v>
      </c>
      <c r="N52" s="238">
        <v>226.2</v>
      </c>
      <c r="O52" s="238">
        <v>223.2</v>
      </c>
      <c r="P52" s="238">
        <v>222</v>
      </c>
      <c r="Q52" s="238">
        <f>88.35+99.25</f>
        <v>187.6</v>
      </c>
      <c r="R52" s="238">
        <v>184.4</v>
      </c>
      <c r="S52" s="215">
        <v>179</v>
      </c>
      <c r="T52" s="216">
        <v>188.1</v>
      </c>
      <c r="U52" s="216">
        <v>182.25</v>
      </c>
      <c r="V52" s="216">
        <v>142.65</v>
      </c>
      <c r="W52" s="216">
        <v>155.05</v>
      </c>
      <c r="X52" s="216">
        <v>160.05</v>
      </c>
      <c r="Y52" s="216">
        <v>149.74</v>
      </c>
      <c r="Z52" s="216">
        <v>139.65</v>
      </c>
      <c r="AA52" s="216">
        <v>138.2</v>
      </c>
      <c r="AB52" s="216">
        <v>116.5</v>
      </c>
      <c r="AC52" s="216">
        <v>118.65</v>
      </c>
      <c r="AD52" s="216">
        <v>117.95</v>
      </c>
      <c r="AE52" s="216">
        <v>114.25</v>
      </c>
      <c r="AF52" s="215"/>
      <c r="AG52" s="333">
        <f>(AE52-AD52)/AD52</f>
        <v>-0.03136922424756255</v>
      </c>
      <c r="AH52" s="213"/>
    </row>
    <row r="53" spans="1:34" ht="12.75">
      <c r="A53" s="249"/>
      <c r="B53" s="250"/>
      <c r="C53" s="251" t="s">
        <v>729</v>
      </c>
      <c r="D53" s="233">
        <v>22</v>
      </c>
      <c r="E53" s="233">
        <v>22</v>
      </c>
      <c r="F53" s="233">
        <v>18</v>
      </c>
      <c r="G53" s="233">
        <v>16</v>
      </c>
      <c r="H53" s="234">
        <v>15</v>
      </c>
      <c r="I53" s="234">
        <v>16</v>
      </c>
      <c r="J53" s="234">
        <v>16</v>
      </c>
      <c r="K53" s="234">
        <v>16</v>
      </c>
      <c r="L53" s="234">
        <v>15</v>
      </c>
      <c r="M53" s="234">
        <v>14</v>
      </c>
      <c r="N53" s="234">
        <v>16.85</v>
      </c>
      <c r="O53" s="234">
        <v>14</v>
      </c>
      <c r="P53" s="234">
        <v>11.6</v>
      </c>
      <c r="Q53" s="238">
        <v>7.75</v>
      </c>
      <c r="R53" s="234" t="s">
        <v>687</v>
      </c>
      <c r="S53" s="235" t="s">
        <v>687</v>
      </c>
      <c r="T53" s="236" t="s">
        <v>687</v>
      </c>
      <c r="U53" s="236" t="s">
        <v>687</v>
      </c>
      <c r="V53" s="236" t="s">
        <v>687</v>
      </c>
      <c r="W53" s="236" t="s">
        <v>687</v>
      </c>
      <c r="X53" s="236" t="s">
        <v>687</v>
      </c>
      <c r="Y53" s="356" t="s">
        <v>687</v>
      </c>
      <c r="Z53" s="356" t="s">
        <v>687</v>
      </c>
      <c r="AA53" s="356" t="s">
        <v>687</v>
      </c>
      <c r="AB53" s="356" t="s">
        <v>687</v>
      </c>
      <c r="AC53" s="356" t="s">
        <v>687</v>
      </c>
      <c r="AD53" s="236" t="s">
        <v>687</v>
      </c>
      <c r="AE53" s="236" t="s">
        <v>687</v>
      </c>
      <c r="AF53" s="235"/>
      <c r="AG53" s="329"/>
      <c r="AH53" s="232"/>
    </row>
    <row r="54" spans="1:34" ht="12.75">
      <c r="A54" s="374"/>
      <c r="B54" s="245"/>
      <c r="C54" s="241"/>
      <c r="D54" s="242"/>
      <c r="E54" s="242"/>
      <c r="F54" s="242"/>
      <c r="G54" s="242"/>
      <c r="H54" s="243"/>
      <c r="I54" s="243"/>
      <c r="J54" s="243"/>
      <c r="K54" s="243"/>
      <c r="L54" s="243"/>
      <c r="M54" s="243"/>
      <c r="N54" s="243"/>
      <c r="O54" s="243"/>
      <c r="P54" s="243"/>
      <c r="Q54" s="243"/>
      <c r="R54" s="243"/>
      <c r="S54" s="246"/>
      <c r="T54" s="246"/>
      <c r="U54" s="246"/>
      <c r="V54" s="246"/>
      <c r="W54" s="246"/>
      <c r="X54" s="246"/>
      <c r="Y54" s="246"/>
      <c r="Z54" s="246"/>
      <c r="AA54" s="246"/>
      <c r="AB54" s="246"/>
      <c r="AC54" s="246"/>
      <c r="AD54" s="246"/>
      <c r="AE54" s="246"/>
      <c r="AF54" s="246">
        <f>SUM(AE52:AE53)</f>
        <v>114.25</v>
      </c>
      <c r="AG54" s="330"/>
      <c r="AH54" s="241"/>
    </row>
    <row r="55" spans="1:34" ht="12.75">
      <c r="A55" s="244" t="s">
        <v>685</v>
      </c>
      <c r="B55" s="229" t="s">
        <v>426</v>
      </c>
      <c r="C55" s="237" t="s">
        <v>730</v>
      </c>
      <c r="D55" s="230">
        <v>186.5</v>
      </c>
      <c r="E55" s="230">
        <v>175</v>
      </c>
      <c r="F55" s="230">
        <v>166.1</v>
      </c>
      <c r="G55" s="230">
        <v>157.35</v>
      </c>
      <c r="H55" s="238">
        <v>156</v>
      </c>
      <c r="I55" s="238">
        <v>153.8</v>
      </c>
      <c r="J55" s="238">
        <v>146.75</v>
      </c>
      <c r="K55" s="238">
        <v>145.95</v>
      </c>
      <c r="L55" s="238">
        <v>154.7</v>
      </c>
      <c r="M55" s="238">
        <v>150</v>
      </c>
      <c r="N55" s="238">
        <v>154.5</v>
      </c>
      <c r="O55" s="238">
        <v>133.6</v>
      </c>
      <c r="P55" s="238">
        <v>124.3</v>
      </c>
      <c r="Q55" s="238">
        <v>114.5</v>
      </c>
      <c r="R55" s="238">
        <v>112.7</v>
      </c>
      <c r="S55" s="215">
        <v>108</v>
      </c>
      <c r="T55" s="216">
        <v>103.32</v>
      </c>
      <c r="U55" s="216">
        <v>91</v>
      </c>
      <c r="V55" s="216">
        <v>79.5</v>
      </c>
      <c r="W55" s="216">
        <v>80.65</v>
      </c>
      <c r="X55" s="216">
        <v>77</v>
      </c>
      <c r="Y55" s="216">
        <v>72</v>
      </c>
      <c r="Z55" s="216">
        <v>65.2</v>
      </c>
      <c r="AA55" s="216">
        <v>70.4</v>
      </c>
      <c r="AB55" s="216">
        <v>79</v>
      </c>
      <c r="AC55" s="216">
        <v>68.5</v>
      </c>
      <c r="AD55" s="216">
        <v>73.5</v>
      </c>
      <c r="AE55" s="216">
        <v>78.25</v>
      </c>
      <c r="AF55" s="215"/>
      <c r="AG55" s="333">
        <f>(AE55-AD55)/AD55</f>
        <v>0.06462585034013606</v>
      </c>
      <c r="AH55" s="213"/>
    </row>
    <row r="56" spans="1:34" ht="12.75">
      <c r="A56" s="249"/>
      <c r="B56" s="250"/>
      <c r="C56" s="251" t="s">
        <v>731</v>
      </c>
      <c r="D56" s="233">
        <v>8</v>
      </c>
      <c r="E56" s="233">
        <v>12</v>
      </c>
      <c r="F56" s="234" t="s">
        <v>687</v>
      </c>
      <c r="G56" s="234" t="s">
        <v>687</v>
      </c>
      <c r="H56" s="234" t="s">
        <v>687</v>
      </c>
      <c r="I56" s="234" t="s">
        <v>687</v>
      </c>
      <c r="J56" s="234" t="s">
        <v>687</v>
      </c>
      <c r="K56" s="234" t="s">
        <v>687</v>
      </c>
      <c r="L56" s="234" t="s">
        <v>687</v>
      </c>
      <c r="M56" s="234" t="s">
        <v>687</v>
      </c>
      <c r="N56" s="234" t="s">
        <v>687</v>
      </c>
      <c r="O56" s="234" t="s">
        <v>687</v>
      </c>
      <c r="P56" s="234" t="s">
        <v>687</v>
      </c>
      <c r="Q56" s="234" t="s">
        <v>687</v>
      </c>
      <c r="R56" s="234" t="s">
        <v>687</v>
      </c>
      <c r="S56" s="234" t="s">
        <v>687</v>
      </c>
      <c r="T56" s="252" t="s">
        <v>687</v>
      </c>
      <c r="U56" s="252" t="s">
        <v>687</v>
      </c>
      <c r="V56" s="252" t="s">
        <v>687</v>
      </c>
      <c r="W56" s="252" t="s">
        <v>687</v>
      </c>
      <c r="X56" s="252" t="s">
        <v>687</v>
      </c>
      <c r="Y56" s="356" t="s">
        <v>687</v>
      </c>
      <c r="Z56" s="356" t="s">
        <v>687</v>
      </c>
      <c r="AA56" s="356" t="s">
        <v>687</v>
      </c>
      <c r="AB56" s="356" t="s">
        <v>687</v>
      </c>
      <c r="AC56" s="356" t="s">
        <v>687</v>
      </c>
      <c r="AD56" s="236" t="s">
        <v>687</v>
      </c>
      <c r="AE56" s="236" t="s">
        <v>687</v>
      </c>
      <c r="AF56" s="253"/>
      <c r="AG56" s="329"/>
      <c r="AH56" s="232"/>
    </row>
    <row r="57" spans="1:34" ht="12.75">
      <c r="A57" s="249"/>
      <c r="B57" s="250"/>
      <c r="C57" s="251" t="s">
        <v>732</v>
      </c>
      <c r="D57" s="233">
        <v>40.8</v>
      </c>
      <c r="E57" s="233">
        <v>67</v>
      </c>
      <c r="F57" s="233">
        <v>44.2</v>
      </c>
      <c r="G57" s="233">
        <v>31</v>
      </c>
      <c r="H57" s="234">
        <v>29</v>
      </c>
      <c r="I57" s="234">
        <v>26</v>
      </c>
      <c r="J57" s="234">
        <v>36.85</v>
      </c>
      <c r="K57" s="234">
        <v>31</v>
      </c>
      <c r="L57" s="234">
        <v>18</v>
      </c>
      <c r="M57" s="234">
        <v>19</v>
      </c>
      <c r="N57" s="234">
        <v>20</v>
      </c>
      <c r="O57" s="234">
        <v>10</v>
      </c>
      <c r="P57" s="234">
        <v>0</v>
      </c>
      <c r="Q57" s="234" t="s">
        <v>687</v>
      </c>
      <c r="R57" s="234" t="s">
        <v>687</v>
      </c>
      <c r="S57" s="234" t="s">
        <v>687</v>
      </c>
      <c r="T57" s="252" t="s">
        <v>687</v>
      </c>
      <c r="U57" s="252" t="s">
        <v>687</v>
      </c>
      <c r="V57" s="252" t="s">
        <v>687</v>
      </c>
      <c r="W57" s="252" t="s">
        <v>687</v>
      </c>
      <c r="X57" s="252" t="s">
        <v>687</v>
      </c>
      <c r="Y57" s="356" t="s">
        <v>687</v>
      </c>
      <c r="Z57" s="356" t="s">
        <v>687</v>
      </c>
      <c r="AA57" s="356" t="s">
        <v>687</v>
      </c>
      <c r="AB57" s="356" t="s">
        <v>687</v>
      </c>
      <c r="AC57" s="356" t="s">
        <v>687</v>
      </c>
      <c r="AD57" s="236" t="s">
        <v>687</v>
      </c>
      <c r="AE57" s="236" t="s">
        <v>687</v>
      </c>
      <c r="AF57" s="235"/>
      <c r="AG57" s="329"/>
      <c r="AH57" s="232"/>
    </row>
    <row r="58" spans="1:34" ht="12.75">
      <c r="A58" s="249"/>
      <c r="B58" s="250"/>
      <c r="C58" s="251" t="s">
        <v>733</v>
      </c>
      <c r="D58" s="233">
        <v>9</v>
      </c>
      <c r="E58" s="233">
        <v>11</v>
      </c>
      <c r="F58" s="233">
        <v>12</v>
      </c>
      <c r="G58" s="233">
        <v>11</v>
      </c>
      <c r="H58" s="234">
        <v>8</v>
      </c>
      <c r="I58" s="234">
        <v>11</v>
      </c>
      <c r="J58" s="234">
        <v>11</v>
      </c>
      <c r="K58" s="234">
        <v>11</v>
      </c>
      <c r="L58" s="234">
        <v>0</v>
      </c>
      <c r="M58" s="234" t="s">
        <v>687</v>
      </c>
      <c r="N58" s="234" t="s">
        <v>687</v>
      </c>
      <c r="O58" s="234" t="s">
        <v>687</v>
      </c>
      <c r="P58" s="234" t="s">
        <v>687</v>
      </c>
      <c r="Q58" s="234" t="s">
        <v>687</v>
      </c>
      <c r="R58" s="234" t="s">
        <v>687</v>
      </c>
      <c r="S58" s="234" t="s">
        <v>687</v>
      </c>
      <c r="T58" s="252" t="s">
        <v>687</v>
      </c>
      <c r="U58" s="252" t="s">
        <v>687</v>
      </c>
      <c r="V58" s="252" t="s">
        <v>687</v>
      </c>
      <c r="W58" s="252" t="s">
        <v>687</v>
      </c>
      <c r="X58" s="252" t="s">
        <v>687</v>
      </c>
      <c r="Y58" s="356" t="s">
        <v>687</v>
      </c>
      <c r="Z58" s="356" t="s">
        <v>687</v>
      </c>
      <c r="AA58" s="356" t="s">
        <v>687</v>
      </c>
      <c r="AB58" s="356" t="s">
        <v>687</v>
      </c>
      <c r="AC58" s="356" t="s">
        <v>687</v>
      </c>
      <c r="AD58" s="236" t="s">
        <v>687</v>
      </c>
      <c r="AE58" s="236" t="s">
        <v>687</v>
      </c>
      <c r="AF58" s="235"/>
      <c r="AG58" s="329"/>
      <c r="AH58" s="232"/>
    </row>
    <row r="59" spans="1:34" ht="12.75">
      <c r="A59" s="249"/>
      <c r="B59" s="250"/>
      <c r="C59" s="251" t="s">
        <v>734</v>
      </c>
      <c r="D59" s="254" t="s">
        <v>687</v>
      </c>
      <c r="E59" s="254" t="s">
        <v>687</v>
      </c>
      <c r="F59" s="254" t="s">
        <v>687</v>
      </c>
      <c r="G59" s="254" t="s">
        <v>687</v>
      </c>
      <c r="H59" s="254" t="s">
        <v>687</v>
      </c>
      <c r="I59" s="254" t="s">
        <v>687</v>
      </c>
      <c r="J59" s="254" t="s">
        <v>687</v>
      </c>
      <c r="K59" s="254" t="s">
        <v>687</v>
      </c>
      <c r="L59" s="254" t="s">
        <v>687</v>
      </c>
      <c r="M59" s="254" t="s">
        <v>687</v>
      </c>
      <c r="N59" s="254" t="s">
        <v>687</v>
      </c>
      <c r="O59" s="254" t="s">
        <v>687</v>
      </c>
      <c r="P59" s="254" t="s">
        <v>687</v>
      </c>
      <c r="Q59" s="254" t="s">
        <v>687</v>
      </c>
      <c r="R59" s="254" t="s">
        <v>687</v>
      </c>
      <c r="S59" s="254" t="s">
        <v>687</v>
      </c>
      <c r="T59" s="252" t="s">
        <v>687</v>
      </c>
      <c r="U59" s="252" t="s">
        <v>687</v>
      </c>
      <c r="V59" s="252" t="s">
        <v>687</v>
      </c>
      <c r="W59" s="252" t="s">
        <v>687</v>
      </c>
      <c r="X59" s="252" t="s">
        <v>687</v>
      </c>
      <c r="Y59" s="356" t="s">
        <v>687</v>
      </c>
      <c r="Z59" s="356" t="s">
        <v>687</v>
      </c>
      <c r="AA59" s="356" t="s">
        <v>687</v>
      </c>
      <c r="AB59" s="356" t="s">
        <v>687</v>
      </c>
      <c r="AC59" s="356" t="s">
        <v>687</v>
      </c>
      <c r="AD59" s="236" t="s">
        <v>687</v>
      </c>
      <c r="AE59" s="236" t="s">
        <v>687</v>
      </c>
      <c r="AF59" s="235"/>
      <c r="AG59" s="329"/>
      <c r="AH59" s="232"/>
    </row>
    <row r="60" spans="1:34" ht="12.75">
      <c r="A60" s="249"/>
      <c r="B60" s="250"/>
      <c r="C60" s="250" t="s">
        <v>735</v>
      </c>
      <c r="D60" s="233">
        <v>21</v>
      </c>
      <c r="E60" s="233">
        <v>11</v>
      </c>
      <c r="F60" s="233">
        <v>16.45</v>
      </c>
      <c r="G60" s="234" t="s">
        <v>687</v>
      </c>
      <c r="H60" s="234" t="s">
        <v>687</v>
      </c>
      <c r="I60" s="234" t="s">
        <v>687</v>
      </c>
      <c r="J60" s="234" t="s">
        <v>687</v>
      </c>
      <c r="K60" s="234" t="s">
        <v>687</v>
      </c>
      <c r="L60" s="234" t="s">
        <v>687</v>
      </c>
      <c r="M60" s="234" t="s">
        <v>687</v>
      </c>
      <c r="N60" s="234" t="s">
        <v>687</v>
      </c>
      <c r="O60" s="234" t="s">
        <v>687</v>
      </c>
      <c r="P60" s="234" t="s">
        <v>687</v>
      </c>
      <c r="Q60" s="234" t="s">
        <v>687</v>
      </c>
      <c r="R60" s="234" t="s">
        <v>687</v>
      </c>
      <c r="S60" s="234" t="s">
        <v>687</v>
      </c>
      <c r="T60" s="252" t="s">
        <v>687</v>
      </c>
      <c r="U60" s="252" t="s">
        <v>687</v>
      </c>
      <c r="V60" s="252" t="s">
        <v>687</v>
      </c>
      <c r="W60" s="252" t="s">
        <v>687</v>
      </c>
      <c r="X60" s="252" t="s">
        <v>687</v>
      </c>
      <c r="Y60" s="356" t="s">
        <v>687</v>
      </c>
      <c r="Z60" s="356" t="s">
        <v>687</v>
      </c>
      <c r="AA60" s="356" t="s">
        <v>687</v>
      </c>
      <c r="AB60" s="356" t="s">
        <v>687</v>
      </c>
      <c r="AC60" s="356" t="s">
        <v>687</v>
      </c>
      <c r="AD60" s="236" t="s">
        <v>687</v>
      </c>
      <c r="AE60" s="236" t="s">
        <v>687</v>
      </c>
      <c r="AF60" s="235"/>
      <c r="AG60" s="329"/>
      <c r="AH60" s="232"/>
    </row>
    <row r="61" spans="1:34" ht="12.75">
      <c r="A61" s="373"/>
      <c r="B61" s="229"/>
      <c r="C61" s="237" t="s">
        <v>736</v>
      </c>
      <c r="D61" s="230">
        <v>72</v>
      </c>
      <c r="E61" s="230">
        <v>67</v>
      </c>
      <c r="F61" s="230">
        <v>65</v>
      </c>
      <c r="G61" s="230">
        <v>85.5</v>
      </c>
      <c r="H61" s="238">
        <v>79.7</v>
      </c>
      <c r="I61" s="238">
        <v>83</v>
      </c>
      <c r="J61" s="238">
        <v>75.2</v>
      </c>
      <c r="K61" s="238">
        <v>73</v>
      </c>
      <c r="L61" s="238">
        <v>73.9</v>
      </c>
      <c r="M61" s="238">
        <v>61</v>
      </c>
      <c r="N61" s="238">
        <v>48</v>
      </c>
      <c r="O61" s="238">
        <v>46.25</v>
      </c>
      <c r="P61" s="238">
        <v>43.7</v>
      </c>
      <c r="Q61" s="238">
        <v>49</v>
      </c>
      <c r="R61" s="238">
        <v>37.5</v>
      </c>
      <c r="S61" s="215">
        <v>44</v>
      </c>
      <c r="T61" s="216">
        <v>42.5</v>
      </c>
      <c r="U61" s="216">
        <v>44.99</v>
      </c>
      <c r="V61" s="216">
        <v>45.5</v>
      </c>
      <c r="W61" s="216">
        <v>39.75</v>
      </c>
      <c r="X61" s="216">
        <v>57.25</v>
      </c>
      <c r="Y61" s="216">
        <v>49.75</v>
      </c>
      <c r="Z61" s="216">
        <v>52.25</v>
      </c>
      <c r="AA61" s="216">
        <v>61.1</v>
      </c>
      <c r="AB61" s="216">
        <v>64.7</v>
      </c>
      <c r="AC61" s="216">
        <v>74.65</v>
      </c>
      <c r="AD61" s="216">
        <v>70.15</v>
      </c>
      <c r="AE61" s="216">
        <v>71.5</v>
      </c>
      <c r="AF61" s="215"/>
      <c r="AG61" s="333">
        <f>(AE61-AD61)/AD61</f>
        <v>0.019244476122594358</v>
      </c>
      <c r="AH61" s="213"/>
    </row>
    <row r="62" spans="1:34" ht="12.75">
      <c r="A62" s="373"/>
      <c r="B62" s="229"/>
      <c r="C62" s="395" t="s">
        <v>737</v>
      </c>
      <c r="D62" s="230"/>
      <c r="E62" s="230">
        <v>7</v>
      </c>
      <c r="F62" s="230">
        <v>7.65</v>
      </c>
      <c r="G62" s="230">
        <v>8</v>
      </c>
      <c r="H62" s="238">
        <v>12.25</v>
      </c>
      <c r="I62" s="238">
        <v>23</v>
      </c>
      <c r="J62" s="230">
        <v>21</v>
      </c>
      <c r="K62" s="230">
        <v>7.25</v>
      </c>
      <c r="L62" s="230">
        <v>0</v>
      </c>
      <c r="M62" s="234" t="s">
        <v>687</v>
      </c>
      <c r="N62" s="234" t="s">
        <v>687</v>
      </c>
      <c r="O62" s="234" t="s">
        <v>687</v>
      </c>
      <c r="P62" s="234" t="s">
        <v>687</v>
      </c>
      <c r="Q62" s="234" t="s">
        <v>687</v>
      </c>
      <c r="R62" s="234" t="s">
        <v>687</v>
      </c>
      <c r="S62" s="234" t="s">
        <v>687</v>
      </c>
      <c r="T62" s="252" t="s">
        <v>687</v>
      </c>
      <c r="U62" s="252" t="s">
        <v>687</v>
      </c>
      <c r="V62" s="252" t="s">
        <v>687</v>
      </c>
      <c r="W62" s="252" t="s">
        <v>687</v>
      </c>
      <c r="X62" s="252" t="s">
        <v>687</v>
      </c>
      <c r="Y62" s="356" t="s">
        <v>687</v>
      </c>
      <c r="Z62" s="356" t="s">
        <v>687</v>
      </c>
      <c r="AA62" s="356" t="s">
        <v>687</v>
      </c>
      <c r="AB62" s="356" t="s">
        <v>687</v>
      </c>
      <c r="AC62" s="356" t="s">
        <v>687</v>
      </c>
      <c r="AD62" s="236" t="s">
        <v>687</v>
      </c>
      <c r="AE62" s="236" t="s">
        <v>687</v>
      </c>
      <c r="AF62" s="215"/>
      <c r="AG62" s="326"/>
      <c r="AH62" s="213"/>
    </row>
    <row r="63" spans="1:34" ht="12.75">
      <c r="A63" s="373"/>
      <c r="B63" s="229"/>
      <c r="C63" s="237" t="s">
        <v>738</v>
      </c>
      <c r="D63" s="230">
        <v>35</v>
      </c>
      <c r="E63" s="230">
        <v>35.5</v>
      </c>
      <c r="F63" s="230">
        <v>30</v>
      </c>
      <c r="G63" s="230">
        <v>24.7</v>
      </c>
      <c r="H63" s="238">
        <v>27.9</v>
      </c>
      <c r="I63" s="238">
        <v>28.5</v>
      </c>
      <c r="J63" s="230">
        <v>27</v>
      </c>
      <c r="K63" s="230">
        <v>11.8</v>
      </c>
      <c r="L63" s="230">
        <v>12.2</v>
      </c>
      <c r="M63" s="230">
        <v>12</v>
      </c>
      <c r="N63" s="230">
        <v>14</v>
      </c>
      <c r="O63" s="230">
        <v>26.5</v>
      </c>
      <c r="P63" s="230">
        <v>39.9</v>
      </c>
      <c r="Q63" s="230">
        <v>39</v>
      </c>
      <c r="R63" s="230">
        <v>32.9</v>
      </c>
      <c r="S63" s="215">
        <v>38</v>
      </c>
      <c r="T63" s="216">
        <v>33</v>
      </c>
      <c r="U63" s="216">
        <v>22.4</v>
      </c>
      <c r="V63" s="216">
        <v>15.75</v>
      </c>
      <c r="W63" s="216">
        <v>18</v>
      </c>
      <c r="X63" s="216">
        <v>14</v>
      </c>
      <c r="Y63" s="216">
        <v>15</v>
      </c>
      <c r="Z63" s="216">
        <v>16</v>
      </c>
      <c r="AA63" s="216">
        <v>13</v>
      </c>
      <c r="AB63" s="216">
        <v>13.25</v>
      </c>
      <c r="AC63" s="216">
        <v>16.5</v>
      </c>
      <c r="AD63" s="216">
        <v>13</v>
      </c>
      <c r="AE63" s="216">
        <v>21.7</v>
      </c>
      <c r="AF63" s="215"/>
      <c r="AG63" s="333">
        <f>(AE63-AD63)/AD63</f>
        <v>0.6692307692307692</v>
      </c>
      <c r="AH63" s="213"/>
    </row>
    <row r="64" spans="1:34" ht="12.75">
      <c r="A64" s="373"/>
      <c r="B64" s="229"/>
      <c r="C64" s="237" t="s">
        <v>739</v>
      </c>
      <c r="D64" s="230">
        <v>10</v>
      </c>
      <c r="E64" s="230">
        <v>11</v>
      </c>
      <c r="F64" s="230">
        <v>7.55</v>
      </c>
      <c r="G64" s="230">
        <v>9</v>
      </c>
      <c r="H64" s="255">
        <v>13</v>
      </c>
      <c r="I64" s="238">
        <v>12</v>
      </c>
      <c r="J64" s="230">
        <v>16.5</v>
      </c>
      <c r="K64" s="230">
        <v>13</v>
      </c>
      <c r="L64" s="230">
        <v>13.25</v>
      </c>
      <c r="M64" s="230">
        <v>15</v>
      </c>
      <c r="N64" s="230">
        <v>11</v>
      </c>
      <c r="O64" s="230">
        <v>11</v>
      </c>
      <c r="P64" s="230">
        <v>12</v>
      </c>
      <c r="Q64" s="230">
        <v>12.5</v>
      </c>
      <c r="R64" s="230">
        <v>12</v>
      </c>
      <c r="S64" s="215">
        <v>10</v>
      </c>
      <c r="T64" s="216">
        <v>14.25</v>
      </c>
      <c r="U64" s="216">
        <v>10</v>
      </c>
      <c r="V64" s="216">
        <v>9</v>
      </c>
      <c r="W64" s="216">
        <v>12</v>
      </c>
      <c r="X64" s="216">
        <v>8</v>
      </c>
      <c r="Y64" s="216">
        <v>10</v>
      </c>
      <c r="Z64" s="216">
        <v>10</v>
      </c>
      <c r="AA64" s="356" t="s">
        <v>687</v>
      </c>
      <c r="AB64" s="216">
        <v>12.25</v>
      </c>
      <c r="AC64" s="216">
        <v>6.5</v>
      </c>
      <c r="AD64" s="236" t="s">
        <v>687</v>
      </c>
      <c r="AE64" s="236" t="s">
        <v>687</v>
      </c>
      <c r="AF64" s="215"/>
      <c r="AG64" s="333" t="e">
        <f>(AE64-AD64)/AD64</f>
        <v>#VALUE!</v>
      </c>
      <c r="AH64" s="213"/>
    </row>
    <row r="65" spans="1:34" ht="12.75">
      <c r="A65" s="374"/>
      <c r="B65" s="245"/>
      <c r="C65" s="363"/>
      <c r="D65" s="242"/>
      <c r="E65" s="242"/>
      <c r="F65" s="242"/>
      <c r="G65" s="242"/>
      <c r="H65" s="256"/>
      <c r="I65" s="242"/>
      <c r="J65" s="242"/>
      <c r="K65" s="242"/>
      <c r="L65" s="242"/>
      <c r="M65" s="242"/>
      <c r="N65" s="242"/>
      <c r="O65" s="242"/>
      <c r="P65" s="242"/>
      <c r="Q65" s="242"/>
      <c r="R65" s="363"/>
      <c r="S65" s="257"/>
      <c r="T65" s="257"/>
      <c r="U65" s="257"/>
      <c r="V65" s="257"/>
      <c r="W65" s="257"/>
      <c r="X65" s="257"/>
      <c r="Y65" s="257"/>
      <c r="Z65" s="257"/>
      <c r="AA65" s="257"/>
      <c r="AB65" s="257"/>
      <c r="AC65" s="257"/>
      <c r="AD65" s="257"/>
      <c r="AE65" s="257"/>
      <c r="AF65" s="242">
        <f>SUM(AE55:AE64)</f>
        <v>171.45</v>
      </c>
      <c r="AG65" s="330"/>
      <c r="AH65" s="241"/>
    </row>
    <row r="66" spans="1:34" ht="12.75">
      <c r="A66" s="244" t="s">
        <v>685</v>
      </c>
      <c r="B66" s="229" t="s">
        <v>1288</v>
      </c>
      <c r="C66" s="237" t="s">
        <v>740</v>
      </c>
      <c r="D66" s="230">
        <v>21</v>
      </c>
      <c r="E66" s="258">
        <v>19</v>
      </c>
      <c r="F66" s="258">
        <v>21.25</v>
      </c>
      <c r="G66" s="258">
        <v>26</v>
      </c>
      <c r="H66" s="238">
        <v>13</v>
      </c>
      <c r="I66" s="238">
        <v>16</v>
      </c>
      <c r="J66" s="238">
        <v>14</v>
      </c>
      <c r="K66" s="238">
        <v>8</v>
      </c>
      <c r="L66" s="238">
        <v>10</v>
      </c>
      <c r="M66" s="238">
        <v>10.4</v>
      </c>
      <c r="N66" s="238">
        <v>14.8</v>
      </c>
      <c r="O66" s="238">
        <v>11</v>
      </c>
      <c r="P66" s="238">
        <v>11</v>
      </c>
      <c r="Q66" s="238">
        <v>11</v>
      </c>
      <c r="R66" s="238">
        <v>11</v>
      </c>
      <c r="S66" s="215">
        <v>14</v>
      </c>
      <c r="T66" s="216">
        <v>14</v>
      </c>
      <c r="U66" s="216">
        <v>16</v>
      </c>
      <c r="V66" s="216">
        <v>17</v>
      </c>
      <c r="W66" s="216">
        <v>22</v>
      </c>
      <c r="X66" s="216">
        <v>23</v>
      </c>
      <c r="Y66" s="216">
        <v>19.75</v>
      </c>
      <c r="Z66" s="216">
        <v>12</v>
      </c>
      <c r="AA66" s="216">
        <v>12.7</v>
      </c>
      <c r="AB66" s="216">
        <v>10.45</v>
      </c>
      <c r="AC66" s="216">
        <v>11</v>
      </c>
      <c r="AD66" s="216">
        <v>11</v>
      </c>
      <c r="AE66" s="216">
        <v>13</v>
      </c>
      <c r="AF66" s="215"/>
      <c r="AG66" s="333">
        <f>(AE66-AD66)/AD66</f>
        <v>0.18181818181818182</v>
      </c>
      <c r="AH66" s="213"/>
    </row>
    <row r="67" spans="1:34" ht="12.75">
      <c r="A67" s="259"/>
      <c r="B67" s="250"/>
      <c r="C67" s="232" t="s">
        <v>741</v>
      </c>
      <c r="D67" s="233">
        <v>4</v>
      </c>
      <c r="E67" s="260">
        <v>3</v>
      </c>
      <c r="F67" s="260">
        <v>6</v>
      </c>
      <c r="G67" s="260">
        <v>6.8</v>
      </c>
      <c r="H67" s="234">
        <v>13</v>
      </c>
      <c r="I67" s="234">
        <v>13</v>
      </c>
      <c r="J67" s="234">
        <v>13</v>
      </c>
      <c r="K67" s="234" t="s">
        <v>687</v>
      </c>
      <c r="L67" s="234" t="s">
        <v>687</v>
      </c>
      <c r="M67" s="234" t="s">
        <v>687</v>
      </c>
      <c r="N67" s="234" t="s">
        <v>687</v>
      </c>
      <c r="O67" s="234" t="s">
        <v>687</v>
      </c>
      <c r="P67" s="234" t="s">
        <v>687</v>
      </c>
      <c r="Q67" s="234" t="s">
        <v>687</v>
      </c>
      <c r="R67" s="234" t="s">
        <v>687</v>
      </c>
      <c r="S67" s="234" t="s">
        <v>687</v>
      </c>
      <c r="T67" s="252" t="s">
        <v>687</v>
      </c>
      <c r="U67" s="252" t="s">
        <v>687</v>
      </c>
      <c r="V67" s="252" t="s">
        <v>687</v>
      </c>
      <c r="W67" s="252" t="s">
        <v>687</v>
      </c>
      <c r="X67" s="252" t="s">
        <v>687</v>
      </c>
      <c r="Y67" s="356" t="s">
        <v>687</v>
      </c>
      <c r="Z67" s="356" t="s">
        <v>687</v>
      </c>
      <c r="AA67" s="356" t="s">
        <v>687</v>
      </c>
      <c r="AB67" s="356" t="s">
        <v>687</v>
      </c>
      <c r="AC67" s="356" t="s">
        <v>687</v>
      </c>
      <c r="AD67" s="236" t="s">
        <v>687</v>
      </c>
      <c r="AE67" s="236" t="s">
        <v>687</v>
      </c>
      <c r="AF67" s="235"/>
      <c r="AG67" s="329"/>
      <c r="AH67" s="232"/>
    </row>
    <row r="68" spans="1:34" ht="12.75">
      <c r="A68" s="262"/>
      <c r="B68" s="229"/>
      <c r="C68" s="237" t="s">
        <v>742</v>
      </c>
      <c r="D68" s="230">
        <v>20.1</v>
      </c>
      <c r="E68" s="258">
        <v>23.25</v>
      </c>
      <c r="F68" s="258">
        <v>28</v>
      </c>
      <c r="G68" s="258">
        <v>31.85</v>
      </c>
      <c r="H68" s="238">
        <v>32</v>
      </c>
      <c r="I68" s="238">
        <v>29</v>
      </c>
      <c r="J68" s="238">
        <v>27</v>
      </c>
      <c r="K68" s="238">
        <v>33</v>
      </c>
      <c r="L68" s="238">
        <v>28</v>
      </c>
      <c r="M68" s="238">
        <v>32.5</v>
      </c>
      <c r="N68" s="238">
        <v>23.9</v>
      </c>
      <c r="O68" s="238">
        <v>29.5</v>
      </c>
      <c r="P68" s="238">
        <v>32.5</v>
      </c>
      <c r="Q68" s="238">
        <v>26</v>
      </c>
      <c r="R68" s="238">
        <v>30.3</v>
      </c>
      <c r="S68" s="215">
        <v>27</v>
      </c>
      <c r="T68" s="216">
        <v>24.95</v>
      </c>
      <c r="U68" s="216">
        <v>20.45</v>
      </c>
      <c r="V68" s="216">
        <v>19</v>
      </c>
      <c r="W68" s="216">
        <v>17</v>
      </c>
      <c r="X68" s="216">
        <v>14.1</v>
      </c>
      <c r="Y68" s="216">
        <v>13</v>
      </c>
      <c r="Z68" s="216">
        <v>15</v>
      </c>
      <c r="AA68" s="216">
        <v>13</v>
      </c>
      <c r="AB68" s="216">
        <v>14.25</v>
      </c>
      <c r="AC68" s="216">
        <v>15</v>
      </c>
      <c r="AD68" s="216">
        <v>16</v>
      </c>
      <c r="AE68" s="216">
        <v>17</v>
      </c>
      <c r="AF68" s="215"/>
      <c r="AG68" s="333">
        <f>(AE68-AD68)/AD68</f>
        <v>0.0625</v>
      </c>
      <c r="AH68" s="213"/>
    </row>
    <row r="69" spans="1:34" ht="12.75">
      <c r="A69" s="259"/>
      <c r="B69" s="250"/>
      <c r="C69" s="232" t="s">
        <v>743</v>
      </c>
      <c r="D69" s="233"/>
      <c r="E69" s="260">
        <v>8</v>
      </c>
      <c r="F69" s="260">
        <v>9</v>
      </c>
      <c r="G69" s="260">
        <v>5.1</v>
      </c>
      <c r="H69" s="234">
        <v>10</v>
      </c>
      <c r="I69" s="234">
        <v>11</v>
      </c>
      <c r="J69" s="234">
        <v>4</v>
      </c>
      <c r="K69" s="234" t="s">
        <v>687</v>
      </c>
      <c r="L69" s="234" t="s">
        <v>687</v>
      </c>
      <c r="M69" s="234" t="s">
        <v>687</v>
      </c>
      <c r="N69" s="234" t="s">
        <v>687</v>
      </c>
      <c r="O69" s="234" t="s">
        <v>687</v>
      </c>
      <c r="P69" s="234" t="s">
        <v>687</v>
      </c>
      <c r="Q69" s="234" t="s">
        <v>687</v>
      </c>
      <c r="R69" s="234" t="s">
        <v>687</v>
      </c>
      <c r="S69" s="234" t="s">
        <v>687</v>
      </c>
      <c r="T69" s="252" t="s">
        <v>687</v>
      </c>
      <c r="U69" s="252" t="s">
        <v>687</v>
      </c>
      <c r="V69" s="252" t="s">
        <v>687</v>
      </c>
      <c r="W69" s="252" t="s">
        <v>687</v>
      </c>
      <c r="X69" s="252" t="s">
        <v>687</v>
      </c>
      <c r="Y69" s="356" t="s">
        <v>687</v>
      </c>
      <c r="Z69" s="356" t="s">
        <v>687</v>
      </c>
      <c r="AA69" s="356" t="s">
        <v>687</v>
      </c>
      <c r="AB69" s="356" t="s">
        <v>687</v>
      </c>
      <c r="AC69" s="356" t="s">
        <v>687</v>
      </c>
      <c r="AD69" s="236" t="s">
        <v>687</v>
      </c>
      <c r="AE69" s="236" t="s">
        <v>687</v>
      </c>
      <c r="AF69" s="235"/>
      <c r="AG69" s="329"/>
      <c r="AH69" s="232"/>
    </row>
    <row r="70" spans="1:34" ht="12.75">
      <c r="A70" s="262"/>
      <c r="B70" s="229"/>
      <c r="C70" s="237" t="s">
        <v>744</v>
      </c>
      <c r="D70" s="230">
        <v>68.8</v>
      </c>
      <c r="E70" s="258">
        <v>75</v>
      </c>
      <c r="F70" s="258">
        <v>68</v>
      </c>
      <c r="G70" s="258">
        <v>53</v>
      </c>
      <c r="H70" s="239">
        <v>65</v>
      </c>
      <c r="I70" s="239">
        <v>75</v>
      </c>
      <c r="J70" s="239">
        <v>99</v>
      </c>
      <c r="K70" s="239">
        <v>126</v>
      </c>
      <c r="L70" s="239">
        <v>36</v>
      </c>
      <c r="M70" s="239">
        <v>26.45</v>
      </c>
      <c r="N70" s="239">
        <v>22.4</v>
      </c>
      <c r="O70" s="239">
        <v>34</v>
      </c>
      <c r="P70" s="239">
        <v>40</v>
      </c>
      <c r="Q70" s="239">
        <v>40.85</v>
      </c>
      <c r="R70" s="239">
        <v>39.9</v>
      </c>
      <c r="S70" s="215">
        <v>44.4</v>
      </c>
      <c r="T70" s="216">
        <v>27.75</v>
      </c>
      <c r="U70" s="216">
        <v>34.05</v>
      </c>
      <c r="V70" s="216">
        <v>30.3</v>
      </c>
      <c r="W70" s="216">
        <v>24</v>
      </c>
      <c r="X70" s="216">
        <v>14</v>
      </c>
      <c r="Y70" s="216">
        <v>27.16</v>
      </c>
      <c r="Z70" s="216">
        <v>33</v>
      </c>
      <c r="AA70" s="216">
        <v>31.4</v>
      </c>
      <c r="AB70" s="216">
        <v>35.85</v>
      </c>
      <c r="AC70" s="216">
        <v>36.05</v>
      </c>
      <c r="AD70" s="216">
        <v>37</v>
      </c>
      <c r="AE70" s="216">
        <v>27</v>
      </c>
      <c r="AF70" s="215"/>
      <c r="AG70" s="333">
        <f>(AE70-AD70)/AD70</f>
        <v>-0.2702702702702703</v>
      </c>
      <c r="AH70" s="213"/>
    </row>
    <row r="71" spans="1:34" ht="12.75">
      <c r="A71" s="263"/>
      <c r="B71" s="240"/>
      <c r="C71" s="241"/>
      <c r="D71" s="242"/>
      <c r="E71" s="264"/>
      <c r="F71" s="264"/>
      <c r="G71" s="264"/>
      <c r="H71" s="243"/>
      <c r="I71" s="243"/>
      <c r="J71" s="242"/>
      <c r="K71" s="242"/>
      <c r="L71" s="242"/>
      <c r="M71" s="242"/>
      <c r="N71" s="242"/>
      <c r="O71" s="242"/>
      <c r="P71" s="242"/>
      <c r="Q71" s="242"/>
      <c r="R71" s="363"/>
      <c r="S71" s="257"/>
      <c r="T71" s="257"/>
      <c r="U71" s="257"/>
      <c r="V71" s="257"/>
      <c r="W71" s="257"/>
      <c r="X71" s="257"/>
      <c r="Y71" s="257"/>
      <c r="Z71" s="257"/>
      <c r="AA71" s="257"/>
      <c r="AB71" s="257"/>
      <c r="AC71" s="257"/>
      <c r="AD71" s="257"/>
      <c r="AE71" s="257"/>
      <c r="AF71" s="242">
        <f>SUM(AE66:AE70)</f>
        <v>57</v>
      </c>
      <c r="AG71" s="330"/>
      <c r="AH71" s="241"/>
    </row>
    <row r="72" spans="1:34" ht="12.75">
      <c r="A72" s="231" t="s">
        <v>745</v>
      </c>
      <c r="B72" s="250" t="s">
        <v>746</v>
      </c>
      <c r="C72" s="251" t="s">
        <v>746</v>
      </c>
      <c r="D72" s="233">
        <v>1984.74</v>
      </c>
      <c r="E72" s="260">
        <v>2079.48</v>
      </c>
      <c r="F72" s="260">
        <v>2280.47</v>
      </c>
      <c r="G72" s="260">
        <v>1475.14</v>
      </c>
      <c r="H72" s="234">
        <v>1477.15</v>
      </c>
      <c r="I72" s="234">
        <v>1580.85</v>
      </c>
      <c r="J72" s="234">
        <v>1626.47</v>
      </c>
      <c r="K72" s="234" t="s">
        <v>687</v>
      </c>
      <c r="L72" s="234" t="s">
        <v>687</v>
      </c>
      <c r="M72" s="234" t="s">
        <v>687</v>
      </c>
      <c r="N72" s="234" t="s">
        <v>687</v>
      </c>
      <c r="O72" s="234" t="s">
        <v>687</v>
      </c>
      <c r="P72" s="234" t="s">
        <v>687</v>
      </c>
      <c r="Q72" s="234" t="s">
        <v>687</v>
      </c>
      <c r="R72" s="234" t="s">
        <v>687</v>
      </c>
      <c r="S72" s="234" t="s">
        <v>687</v>
      </c>
      <c r="T72" s="252" t="s">
        <v>687</v>
      </c>
      <c r="U72" s="252" t="s">
        <v>687</v>
      </c>
      <c r="V72" s="252" t="s">
        <v>687</v>
      </c>
      <c r="W72" s="252" t="s">
        <v>687</v>
      </c>
      <c r="X72" s="356" t="s">
        <v>687</v>
      </c>
      <c r="Y72" s="356" t="s">
        <v>687</v>
      </c>
      <c r="Z72" s="356" t="s">
        <v>687</v>
      </c>
      <c r="AA72" s="356" t="s">
        <v>687</v>
      </c>
      <c r="AB72" s="356" t="s">
        <v>687</v>
      </c>
      <c r="AC72" s="356"/>
      <c r="AD72" s="356"/>
      <c r="AE72" s="356"/>
      <c r="AF72" s="235"/>
      <c r="AG72" s="329"/>
      <c r="AH72" s="232"/>
    </row>
    <row r="73" spans="1:34" ht="12.75">
      <c r="A73" s="263"/>
      <c r="B73" s="245"/>
      <c r="C73" s="245"/>
      <c r="D73" s="242"/>
      <c r="E73" s="264"/>
      <c r="F73" s="264"/>
      <c r="G73" s="264"/>
      <c r="H73" s="243"/>
      <c r="I73" s="243"/>
      <c r="J73" s="243"/>
      <c r="K73" s="243"/>
      <c r="L73" s="243"/>
      <c r="M73" s="243"/>
      <c r="N73" s="243"/>
      <c r="O73" s="243"/>
      <c r="P73" s="243"/>
      <c r="Q73" s="243"/>
      <c r="R73" s="243"/>
      <c r="S73" s="246"/>
      <c r="T73" s="246"/>
      <c r="U73" s="246"/>
      <c r="V73" s="246"/>
      <c r="W73" s="246"/>
      <c r="X73" s="246"/>
      <c r="Y73" s="246"/>
      <c r="Z73" s="246"/>
      <c r="AA73" s="246"/>
      <c r="AB73" s="246"/>
      <c r="AC73" s="246"/>
      <c r="AD73" s="246"/>
      <c r="AE73" s="246"/>
      <c r="AF73" s="246"/>
      <c r="AG73" s="330"/>
      <c r="AH73" s="241"/>
    </row>
    <row r="74" spans="1:34" ht="12.75">
      <c r="A74" s="244" t="s">
        <v>685</v>
      </c>
      <c r="B74" s="229" t="s">
        <v>436</v>
      </c>
      <c r="C74" s="389" t="s">
        <v>747</v>
      </c>
      <c r="D74" s="230">
        <v>38.05</v>
      </c>
      <c r="E74" s="258">
        <v>31.25</v>
      </c>
      <c r="F74" s="258">
        <v>31</v>
      </c>
      <c r="G74" s="258">
        <v>15.25</v>
      </c>
      <c r="H74" s="238">
        <v>13.3</v>
      </c>
      <c r="I74" s="238">
        <v>10.5</v>
      </c>
      <c r="J74" s="238">
        <v>6.95</v>
      </c>
      <c r="K74" s="238">
        <v>9</v>
      </c>
      <c r="L74" s="238">
        <v>10</v>
      </c>
      <c r="M74" s="238">
        <v>11</v>
      </c>
      <c r="N74" s="238">
        <v>15</v>
      </c>
      <c r="O74" s="238">
        <v>10</v>
      </c>
      <c r="P74" s="238">
        <v>10.4</v>
      </c>
      <c r="Q74" s="238">
        <v>11</v>
      </c>
      <c r="R74" s="238">
        <v>15</v>
      </c>
      <c r="S74" s="215">
        <v>16</v>
      </c>
      <c r="T74" s="216">
        <v>11</v>
      </c>
      <c r="U74" s="216">
        <v>10</v>
      </c>
      <c r="V74" s="216">
        <v>12</v>
      </c>
      <c r="W74" s="216">
        <v>11</v>
      </c>
      <c r="X74" s="216">
        <v>11.45</v>
      </c>
      <c r="Y74" s="356" t="s">
        <v>687</v>
      </c>
      <c r="Z74" s="356" t="s">
        <v>687</v>
      </c>
      <c r="AA74" s="356" t="s">
        <v>687</v>
      </c>
      <c r="AB74" s="356" t="s">
        <v>687</v>
      </c>
      <c r="AC74" s="356" t="s">
        <v>687</v>
      </c>
      <c r="AD74" s="236" t="s">
        <v>687</v>
      </c>
      <c r="AE74" s="236" t="s">
        <v>687</v>
      </c>
      <c r="AF74" s="215"/>
      <c r="AG74" s="333"/>
      <c r="AH74" s="213"/>
    </row>
    <row r="75" spans="1:34" ht="12.75">
      <c r="A75" s="262"/>
      <c r="B75" s="229"/>
      <c r="C75" s="395" t="s">
        <v>748</v>
      </c>
      <c r="D75" s="230">
        <v>74.55</v>
      </c>
      <c r="E75" s="258">
        <v>74</v>
      </c>
      <c r="F75" s="258">
        <v>79.45</v>
      </c>
      <c r="G75" s="258">
        <v>77.5</v>
      </c>
      <c r="H75" s="238">
        <v>69.8</v>
      </c>
      <c r="I75" s="238">
        <v>61.5</v>
      </c>
      <c r="J75" s="238">
        <v>51.45</v>
      </c>
      <c r="K75" s="238">
        <v>51.85</v>
      </c>
      <c r="L75" s="247">
        <v>38</v>
      </c>
      <c r="M75" s="248" t="s">
        <v>437</v>
      </c>
      <c r="N75" s="248" t="s">
        <v>437</v>
      </c>
      <c r="O75" s="248" t="s">
        <v>437</v>
      </c>
      <c r="P75" s="248" t="s">
        <v>437</v>
      </c>
      <c r="Q75" s="248" t="s">
        <v>437</v>
      </c>
      <c r="R75" s="248" t="s">
        <v>437</v>
      </c>
      <c r="S75" s="248" t="s">
        <v>437</v>
      </c>
      <c r="T75" s="248" t="s">
        <v>437</v>
      </c>
      <c r="U75" s="248" t="s">
        <v>437</v>
      </c>
      <c r="V75" s="248" t="s">
        <v>437</v>
      </c>
      <c r="W75" s="248" t="s">
        <v>437</v>
      </c>
      <c r="X75" s="248" t="s">
        <v>437</v>
      </c>
      <c r="Y75" s="248" t="s">
        <v>437</v>
      </c>
      <c r="Z75" s="248" t="s">
        <v>437</v>
      </c>
      <c r="AA75" s="248" t="s">
        <v>437</v>
      </c>
      <c r="AB75" s="428" t="s">
        <v>687</v>
      </c>
      <c r="AC75" s="428" t="s">
        <v>687</v>
      </c>
      <c r="AD75" s="236" t="s">
        <v>687</v>
      </c>
      <c r="AE75" s="236" t="s">
        <v>687</v>
      </c>
      <c r="AF75" s="215"/>
      <c r="AG75" s="326"/>
      <c r="AH75" s="213"/>
    </row>
    <row r="76" spans="1:34" ht="12.75">
      <c r="A76" s="262"/>
      <c r="B76" s="229"/>
      <c r="C76" s="232" t="s">
        <v>749</v>
      </c>
      <c r="D76" s="230">
        <v>30</v>
      </c>
      <c r="E76" s="258">
        <v>25</v>
      </c>
      <c r="F76" s="258">
        <v>18</v>
      </c>
      <c r="G76" s="258">
        <v>22.85</v>
      </c>
      <c r="H76" s="238">
        <v>21.75</v>
      </c>
      <c r="I76" s="238">
        <v>19.75</v>
      </c>
      <c r="J76" s="238">
        <v>26.1</v>
      </c>
      <c r="K76" s="238">
        <v>26.75</v>
      </c>
      <c r="L76" s="238">
        <v>23.1</v>
      </c>
      <c r="M76" s="248" t="s">
        <v>437</v>
      </c>
      <c r="N76" s="248" t="s">
        <v>437</v>
      </c>
      <c r="O76" s="248" t="s">
        <v>437</v>
      </c>
      <c r="P76" s="248" t="s">
        <v>437</v>
      </c>
      <c r="Q76" s="248" t="s">
        <v>437</v>
      </c>
      <c r="R76" s="248" t="s">
        <v>437</v>
      </c>
      <c r="S76" s="248" t="s">
        <v>437</v>
      </c>
      <c r="T76" s="248" t="s">
        <v>437</v>
      </c>
      <c r="U76" s="248" t="s">
        <v>437</v>
      </c>
      <c r="V76" s="252" t="s">
        <v>687</v>
      </c>
      <c r="W76" s="252" t="s">
        <v>687</v>
      </c>
      <c r="X76" s="252" t="s">
        <v>687</v>
      </c>
      <c r="Y76" s="356" t="s">
        <v>687</v>
      </c>
      <c r="Z76" s="356" t="s">
        <v>687</v>
      </c>
      <c r="AA76" s="356" t="s">
        <v>687</v>
      </c>
      <c r="AB76" s="356" t="s">
        <v>687</v>
      </c>
      <c r="AC76" s="356" t="s">
        <v>687</v>
      </c>
      <c r="AD76" s="236" t="s">
        <v>687</v>
      </c>
      <c r="AE76" s="236" t="s">
        <v>687</v>
      </c>
      <c r="AF76" s="215"/>
      <c r="AG76" s="326"/>
      <c r="AH76" s="213"/>
    </row>
    <row r="77" spans="1:34" ht="12.75">
      <c r="A77" s="262"/>
      <c r="B77" s="229"/>
      <c r="C77" s="237" t="s">
        <v>750</v>
      </c>
      <c r="D77" s="230">
        <v>305.5</v>
      </c>
      <c r="E77" s="258">
        <v>340.35</v>
      </c>
      <c r="F77" s="258">
        <v>353.2</v>
      </c>
      <c r="G77" s="258">
        <v>345.6</v>
      </c>
      <c r="H77" s="238">
        <v>364.8</v>
      </c>
      <c r="I77" s="238">
        <v>383.8</v>
      </c>
      <c r="J77" s="238">
        <v>501.6</v>
      </c>
      <c r="K77" s="238">
        <f>152.94+237.8</f>
        <v>390.74</v>
      </c>
      <c r="L77" s="238">
        <v>336.15</v>
      </c>
      <c r="M77" s="238">
        <f>208.25+118.5+43+19.55</f>
        <v>389.3</v>
      </c>
      <c r="N77" s="238">
        <f>296.65+51.2+13</f>
        <v>360.84999999999997</v>
      </c>
      <c r="O77" s="238">
        <f>191.83+116.95+51.7+22.75</f>
        <v>383.23</v>
      </c>
      <c r="P77" s="238">
        <f>184.9+132+49.25+17</f>
        <v>383.15</v>
      </c>
      <c r="Q77" s="238">
        <f>128.15+180.45+48+17.1</f>
        <v>373.70000000000005</v>
      </c>
      <c r="R77" s="238">
        <f>180.9+127.5+55.35+14</f>
        <v>377.75</v>
      </c>
      <c r="S77" s="215">
        <v>369.75</v>
      </c>
      <c r="T77" s="216">
        <f>39+15+175+129</f>
        <v>358</v>
      </c>
      <c r="U77" s="216">
        <v>321.25</v>
      </c>
      <c r="V77" s="216">
        <v>302.65</v>
      </c>
      <c r="W77" s="216">
        <v>305.38</v>
      </c>
      <c r="X77" s="216">
        <v>291.15</v>
      </c>
      <c r="Y77" s="216">
        <v>297.8</v>
      </c>
      <c r="Z77" s="216">
        <v>304.3</v>
      </c>
      <c r="AA77" s="216">
        <v>298.25</v>
      </c>
      <c r="AB77" s="216">
        <v>285.85</v>
      </c>
      <c r="AC77" s="216">
        <v>279.55</v>
      </c>
      <c r="AD77" s="216">
        <v>279.3</v>
      </c>
      <c r="AE77" s="216">
        <v>266.28</v>
      </c>
      <c r="AF77" s="215"/>
      <c r="AG77" s="333">
        <f>(AE77-AD77)/AD77</f>
        <v>-0.0466165413533836</v>
      </c>
      <c r="AH77" s="213"/>
    </row>
    <row r="78" spans="1:34" ht="12.75">
      <c r="A78" s="262"/>
      <c r="B78" s="229"/>
      <c r="C78" s="237" t="s">
        <v>751</v>
      </c>
      <c r="D78" s="230">
        <v>99.85</v>
      </c>
      <c r="E78" s="258">
        <v>85.85</v>
      </c>
      <c r="F78" s="258">
        <v>97.3</v>
      </c>
      <c r="G78" s="258">
        <v>104.75</v>
      </c>
      <c r="H78" s="238">
        <v>107.8</v>
      </c>
      <c r="I78" s="238">
        <v>122.95</v>
      </c>
      <c r="J78" s="238">
        <v>135.5</v>
      </c>
      <c r="K78" s="238">
        <v>124.95</v>
      </c>
      <c r="L78" s="238">
        <v>123.8</v>
      </c>
      <c r="M78" s="238">
        <v>114.75</v>
      </c>
      <c r="N78" s="238">
        <v>117.25</v>
      </c>
      <c r="O78" s="238">
        <v>124.4</v>
      </c>
      <c r="P78" s="238">
        <v>122.67</v>
      </c>
      <c r="Q78" s="238">
        <v>132.5</v>
      </c>
      <c r="R78" s="238">
        <v>142.2</v>
      </c>
      <c r="S78" s="215">
        <v>130.9</v>
      </c>
      <c r="T78" s="216">
        <v>124.05</v>
      </c>
      <c r="U78" s="216">
        <v>129.85</v>
      </c>
      <c r="V78" s="216">
        <v>120.3</v>
      </c>
      <c r="W78" s="216">
        <v>121</v>
      </c>
      <c r="X78" s="216">
        <v>104.25</v>
      </c>
      <c r="Y78" s="216">
        <v>110.8</v>
      </c>
      <c r="Z78" s="216">
        <v>105.25</v>
      </c>
      <c r="AA78" s="216">
        <v>89.91</v>
      </c>
      <c r="AB78" s="216">
        <v>78</v>
      </c>
      <c r="AC78" s="216">
        <v>70.85</v>
      </c>
      <c r="AD78" s="216">
        <v>73.25</v>
      </c>
      <c r="AE78" s="216">
        <v>64.88</v>
      </c>
      <c r="AF78" s="215"/>
      <c r="AG78" s="333">
        <f>(AE78-AD78)/AD78</f>
        <v>-0.11426621160409563</v>
      </c>
      <c r="AH78" s="213"/>
    </row>
    <row r="79" spans="1:34" ht="12.75">
      <c r="A79" s="262"/>
      <c r="B79" s="229"/>
      <c r="C79" s="232" t="s">
        <v>752</v>
      </c>
      <c r="D79" s="230">
        <v>9</v>
      </c>
      <c r="E79" s="258">
        <v>8</v>
      </c>
      <c r="F79" s="258">
        <v>6</v>
      </c>
      <c r="G79" s="258">
        <v>6</v>
      </c>
      <c r="H79" s="238">
        <v>17</v>
      </c>
      <c r="I79" s="238">
        <v>16</v>
      </c>
      <c r="J79" s="238">
        <v>8.5</v>
      </c>
      <c r="K79" s="238">
        <v>12</v>
      </c>
      <c r="L79" s="247">
        <v>11</v>
      </c>
      <c r="M79" s="248">
        <v>14</v>
      </c>
      <c r="N79" s="248">
        <v>11</v>
      </c>
      <c r="O79" s="248">
        <v>11.7</v>
      </c>
      <c r="P79" s="337" t="s">
        <v>687</v>
      </c>
      <c r="Q79" s="337" t="s">
        <v>687</v>
      </c>
      <c r="R79" s="337" t="s">
        <v>687</v>
      </c>
      <c r="S79" s="337" t="s">
        <v>687</v>
      </c>
      <c r="T79" s="337" t="s">
        <v>687</v>
      </c>
      <c r="U79" s="337" t="s">
        <v>687</v>
      </c>
      <c r="V79" s="252" t="s">
        <v>687</v>
      </c>
      <c r="W79" s="252" t="s">
        <v>687</v>
      </c>
      <c r="X79" s="252" t="s">
        <v>687</v>
      </c>
      <c r="Y79" s="356" t="s">
        <v>687</v>
      </c>
      <c r="Z79" s="356" t="s">
        <v>687</v>
      </c>
      <c r="AA79" s="356" t="s">
        <v>687</v>
      </c>
      <c r="AB79" s="356" t="s">
        <v>687</v>
      </c>
      <c r="AC79" s="356" t="s">
        <v>687</v>
      </c>
      <c r="AD79" s="236" t="s">
        <v>687</v>
      </c>
      <c r="AE79" s="236" t="s">
        <v>687</v>
      </c>
      <c r="AF79" s="215"/>
      <c r="AG79" s="326"/>
      <c r="AH79" s="213"/>
    </row>
    <row r="80" spans="1:34" ht="12.75">
      <c r="A80" s="259"/>
      <c r="B80" s="250"/>
      <c r="C80" s="232" t="s">
        <v>753</v>
      </c>
      <c r="D80" s="233">
        <v>3</v>
      </c>
      <c r="E80" s="260">
        <v>6</v>
      </c>
      <c r="F80" s="260" t="s">
        <v>687</v>
      </c>
      <c r="G80" s="260" t="s">
        <v>687</v>
      </c>
      <c r="H80" s="260" t="s">
        <v>687</v>
      </c>
      <c r="I80" s="260" t="s">
        <v>687</v>
      </c>
      <c r="J80" s="260" t="s">
        <v>687</v>
      </c>
      <c r="K80" s="260" t="s">
        <v>687</v>
      </c>
      <c r="L80" s="260" t="s">
        <v>687</v>
      </c>
      <c r="M80" s="260" t="s">
        <v>687</v>
      </c>
      <c r="N80" s="260" t="s">
        <v>687</v>
      </c>
      <c r="O80" s="260" t="s">
        <v>687</v>
      </c>
      <c r="P80" s="260" t="s">
        <v>687</v>
      </c>
      <c r="Q80" s="260" t="s">
        <v>687</v>
      </c>
      <c r="R80" s="260" t="s">
        <v>687</v>
      </c>
      <c r="S80" s="260" t="s">
        <v>687</v>
      </c>
      <c r="T80" s="267" t="s">
        <v>687</v>
      </c>
      <c r="U80" s="267" t="s">
        <v>687</v>
      </c>
      <c r="V80" s="267" t="s">
        <v>687</v>
      </c>
      <c r="W80" s="267" t="s">
        <v>687</v>
      </c>
      <c r="X80" s="267" t="s">
        <v>687</v>
      </c>
      <c r="Y80" s="356" t="s">
        <v>687</v>
      </c>
      <c r="Z80" s="356" t="s">
        <v>687</v>
      </c>
      <c r="AA80" s="356" t="s">
        <v>687</v>
      </c>
      <c r="AB80" s="356" t="s">
        <v>687</v>
      </c>
      <c r="AC80" s="356" t="s">
        <v>687</v>
      </c>
      <c r="AD80" s="236" t="s">
        <v>687</v>
      </c>
      <c r="AE80" s="236" t="s">
        <v>687</v>
      </c>
      <c r="AF80" s="235"/>
      <c r="AG80" s="329"/>
      <c r="AH80" s="232"/>
    </row>
    <row r="81" spans="1:34" ht="12.75">
      <c r="A81" s="262"/>
      <c r="B81" s="229"/>
      <c r="C81" s="237" t="s">
        <v>754</v>
      </c>
      <c r="D81" s="230">
        <v>22</v>
      </c>
      <c r="E81" s="258">
        <v>22</v>
      </c>
      <c r="F81" s="258">
        <v>22.95</v>
      </c>
      <c r="G81" s="258">
        <v>24.8</v>
      </c>
      <c r="H81" s="238">
        <v>28.8</v>
      </c>
      <c r="I81" s="238">
        <v>25</v>
      </c>
      <c r="J81" s="238">
        <v>42.5</v>
      </c>
      <c r="K81" s="238">
        <v>16</v>
      </c>
      <c r="L81" s="238">
        <v>16</v>
      </c>
      <c r="M81" s="238">
        <v>17</v>
      </c>
      <c r="N81" s="238">
        <v>10</v>
      </c>
      <c r="O81" s="238">
        <v>18</v>
      </c>
      <c r="P81" s="238">
        <v>24</v>
      </c>
      <c r="Q81" s="238">
        <v>14.95</v>
      </c>
      <c r="R81" s="238">
        <v>12</v>
      </c>
      <c r="S81" s="215">
        <v>15.75</v>
      </c>
      <c r="T81" s="216">
        <v>18.3</v>
      </c>
      <c r="U81" s="216">
        <v>17.8</v>
      </c>
      <c r="V81" s="216">
        <v>19</v>
      </c>
      <c r="W81" s="216">
        <v>16.4</v>
      </c>
      <c r="X81" s="216">
        <v>13.53</v>
      </c>
      <c r="Y81" s="216">
        <v>21.75</v>
      </c>
      <c r="Z81" s="216">
        <v>21</v>
      </c>
      <c r="AA81" s="216">
        <v>10.53</v>
      </c>
      <c r="AB81" s="216">
        <v>18.25</v>
      </c>
      <c r="AC81" s="216">
        <v>16.3</v>
      </c>
      <c r="AD81" s="216">
        <v>13.2</v>
      </c>
      <c r="AE81" s="216">
        <v>15.3</v>
      </c>
      <c r="AF81" s="215"/>
      <c r="AG81" s="333">
        <f>(AE81-AD81)/AD81</f>
        <v>0.1590909090909092</v>
      </c>
      <c r="AH81" s="213"/>
    </row>
    <row r="82" spans="1:34" ht="12.75">
      <c r="A82" s="263"/>
      <c r="B82" s="245"/>
      <c r="C82" s="268"/>
      <c r="D82" s="242"/>
      <c r="E82" s="264"/>
      <c r="F82" s="264"/>
      <c r="G82" s="264"/>
      <c r="H82" s="243"/>
      <c r="I82" s="243"/>
      <c r="J82" s="243"/>
      <c r="K82" s="243"/>
      <c r="L82" s="243"/>
      <c r="M82" s="243"/>
      <c r="N82" s="243"/>
      <c r="O82" s="243"/>
      <c r="P82" s="243"/>
      <c r="Q82" s="243"/>
      <c r="R82" s="363"/>
      <c r="S82" s="257"/>
      <c r="T82" s="257"/>
      <c r="U82" s="257"/>
      <c r="V82" s="257"/>
      <c r="W82" s="257"/>
      <c r="X82" s="257"/>
      <c r="Y82" s="257"/>
      <c r="Z82" s="257"/>
      <c r="AA82" s="257"/>
      <c r="AB82" s="257"/>
      <c r="AC82" s="257"/>
      <c r="AD82" s="257"/>
      <c r="AE82" s="257"/>
      <c r="AF82" s="242">
        <f>SUM(AE74:AE81)</f>
        <v>346.46</v>
      </c>
      <c r="AG82" s="330"/>
      <c r="AH82" s="241"/>
    </row>
    <row r="83" spans="1:34" ht="12.75">
      <c r="A83" s="244" t="s">
        <v>697</v>
      </c>
      <c r="B83" s="229" t="s">
        <v>441</v>
      </c>
      <c r="C83" s="237" t="s">
        <v>441</v>
      </c>
      <c r="D83" s="230">
        <v>437.9</v>
      </c>
      <c r="E83" s="258">
        <v>437.9</v>
      </c>
      <c r="F83" s="258">
        <v>502.5</v>
      </c>
      <c r="G83" s="258">
        <v>511.15</v>
      </c>
      <c r="H83" s="238">
        <v>528.15</v>
      </c>
      <c r="I83" s="238">
        <v>519.15</v>
      </c>
      <c r="J83" s="238">
        <v>534.3</v>
      </c>
      <c r="K83" s="238">
        <f>289.25+225.45</f>
        <v>514.7</v>
      </c>
      <c r="L83" s="238">
        <v>491.34</v>
      </c>
      <c r="M83" s="238">
        <v>485.45</v>
      </c>
      <c r="N83" s="238">
        <v>475.95</v>
      </c>
      <c r="O83" s="238">
        <v>461.45</v>
      </c>
      <c r="P83" s="238">
        <v>464.1</v>
      </c>
      <c r="Q83" s="238">
        <f>471.4</f>
        <v>471.4</v>
      </c>
      <c r="R83" s="238">
        <v>451.6</v>
      </c>
      <c r="S83" s="215">
        <v>446.95</v>
      </c>
      <c r="T83" s="216">
        <v>420.5</v>
      </c>
      <c r="U83" s="216">
        <v>408.9</v>
      </c>
      <c r="V83" s="216">
        <v>368.4</v>
      </c>
      <c r="W83" s="216">
        <v>360.4</v>
      </c>
      <c r="X83" s="216">
        <v>337.75</v>
      </c>
      <c r="Y83" s="216">
        <v>324.5</v>
      </c>
      <c r="Z83" s="216">
        <v>315.78</v>
      </c>
      <c r="AA83" s="216">
        <v>306.31</v>
      </c>
      <c r="AB83" s="216">
        <v>324.5</v>
      </c>
      <c r="AC83" s="216">
        <v>351.6</v>
      </c>
      <c r="AD83" s="216">
        <v>313.15</v>
      </c>
      <c r="AE83" s="216">
        <v>323.56</v>
      </c>
      <c r="AF83" s="215"/>
      <c r="AG83" s="333">
        <f>(AE83-AD83)/AD83</f>
        <v>0.033242854861887355</v>
      </c>
      <c r="AH83" s="213"/>
    </row>
    <row r="84" spans="1:34" ht="12.75">
      <c r="A84" s="263"/>
      <c r="B84" s="245"/>
      <c r="C84" s="241"/>
      <c r="D84" s="242"/>
      <c r="E84" s="264"/>
      <c r="F84" s="264"/>
      <c r="G84" s="264"/>
      <c r="H84" s="243"/>
      <c r="I84" s="243"/>
      <c r="J84" s="243"/>
      <c r="K84" s="243"/>
      <c r="L84" s="243"/>
      <c r="M84" s="243"/>
      <c r="N84" s="243"/>
      <c r="O84" s="243"/>
      <c r="P84" s="243"/>
      <c r="Q84" s="243"/>
      <c r="R84" s="243"/>
      <c r="S84" s="246"/>
      <c r="T84" s="246"/>
      <c r="U84" s="246"/>
      <c r="V84" s="246"/>
      <c r="W84" s="246"/>
      <c r="X84" s="246"/>
      <c r="Y84" s="246"/>
      <c r="Z84" s="246"/>
      <c r="AA84" s="246"/>
      <c r="AB84" s="246"/>
      <c r="AC84" s="246"/>
      <c r="AD84" s="246"/>
      <c r="AE84" s="246"/>
      <c r="AF84" s="242">
        <f>SUM(AE83:AE83)</f>
        <v>323.56</v>
      </c>
      <c r="AG84" s="330"/>
      <c r="AH84" s="241"/>
    </row>
    <row r="85" spans="1:34" ht="12.75">
      <c r="A85" s="244" t="s">
        <v>697</v>
      </c>
      <c r="B85" s="229" t="s">
        <v>443</v>
      </c>
      <c r="C85" s="237" t="s">
        <v>443</v>
      </c>
      <c r="D85" s="230">
        <v>303.4</v>
      </c>
      <c r="E85" s="258">
        <v>314.25</v>
      </c>
      <c r="F85" s="258">
        <v>356.45</v>
      </c>
      <c r="G85" s="258">
        <v>367</v>
      </c>
      <c r="H85" s="238">
        <v>396</v>
      </c>
      <c r="I85" s="238">
        <v>424</v>
      </c>
      <c r="J85" s="238">
        <v>422</v>
      </c>
      <c r="K85" s="238">
        <f>221+207</f>
        <v>428</v>
      </c>
      <c r="L85" s="238">
        <v>431</v>
      </c>
      <c r="M85" s="238">
        <v>412.35</v>
      </c>
      <c r="N85" s="238">
        <v>412.4</v>
      </c>
      <c r="O85" s="238">
        <f>185+94+96.75</f>
        <v>375.75</v>
      </c>
      <c r="P85" s="238">
        <f>177.2+90+100</f>
        <v>367.2</v>
      </c>
      <c r="Q85" s="238">
        <f>381.75-24</f>
        <v>357.75</v>
      </c>
      <c r="R85" s="238">
        <v>355.8</v>
      </c>
      <c r="S85" s="215">
        <v>352.75</v>
      </c>
      <c r="T85" s="216">
        <v>347.55</v>
      </c>
      <c r="U85" s="216">
        <v>331.45</v>
      </c>
      <c r="V85" s="216">
        <v>323.5</v>
      </c>
      <c r="W85" s="216">
        <v>304.05</v>
      </c>
      <c r="X85" s="216">
        <v>304.4</v>
      </c>
      <c r="Y85" s="216">
        <v>338.96</v>
      </c>
      <c r="Z85" s="216">
        <v>314.5</v>
      </c>
      <c r="AA85" s="216">
        <v>285.2</v>
      </c>
      <c r="AB85" s="216">
        <v>285.05</v>
      </c>
      <c r="AC85" s="216">
        <v>273.1</v>
      </c>
      <c r="AD85" s="216">
        <v>284.23</v>
      </c>
      <c r="AE85" s="216">
        <v>257.32</v>
      </c>
      <c r="AF85" s="215"/>
      <c r="AG85" s="333">
        <f>(AE85-AD85)/AD85</f>
        <v>-0.09467684621609268</v>
      </c>
      <c r="AH85" s="213"/>
    </row>
    <row r="86" spans="1:34" ht="12.75">
      <c r="A86" s="263"/>
      <c r="B86" s="245"/>
      <c r="C86" s="241"/>
      <c r="D86" s="242"/>
      <c r="E86" s="264"/>
      <c r="F86" s="264"/>
      <c r="G86" s="264"/>
      <c r="H86" s="243"/>
      <c r="I86" s="243"/>
      <c r="J86" s="243"/>
      <c r="K86" s="243"/>
      <c r="L86" s="243"/>
      <c r="M86" s="243"/>
      <c r="N86" s="243"/>
      <c r="O86" s="243"/>
      <c r="P86" s="243"/>
      <c r="Q86" s="243"/>
      <c r="R86" s="243"/>
      <c r="S86" s="246"/>
      <c r="T86" s="246"/>
      <c r="U86" s="246"/>
      <c r="V86" s="246"/>
      <c r="W86" s="246"/>
      <c r="X86" s="246"/>
      <c r="Y86" s="246"/>
      <c r="Z86" s="246"/>
      <c r="AA86" s="246"/>
      <c r="AB86" s="246"/>
      <c r="AC86" s="246"/>
      <c r="AD86" s="246"/>
      <c r="AE86" s="246"/>
      <c r="AF86" s="242">
        <f>SUM(AE85:AE85)</f>
        <v>257.32</v>
      </c>
      <c r="AG86" s="330"/>
      <c r="AH86" s="241"/>
    </row>
    <row r="87" spans="1:34" ht="12.75">
      <c r="A87" s="244" t="s">
        <v>685</v>
      </c>
      <c r="B87" s="229" t="s">
        <v>445</v>
      </c>
      <c r="C87" s="237" t="s">
        <v>755</v>
      </c>
      <c r="D87" s="230">
        <v>841</v>
      </c>
      <c r="E87" s="258">
        <v>839.7</v>
      </c>
      <c r="F87" s="258">
        <v>927.9</v>
      </c>
      <c r="G87" s="258">
        <v>983.7</v>
      </c>
      <c r="H87" s="238">
        <v>964</v>
      </c>
      <c r="I87" s="238">
        <v>873</v>
      </c>
      <c r="J87" s="238">
        <v>834.7</v>
      </c>
      <c r="K87" s="238">
        <f>437.75+513.26</f>
        <v>951.01</v>
      </c>
      <c r="L87" s="247">
        <f>57.7+178+102.6+213.8+231.45</f>
        <v>783.55</v>
      </c>
      <c r="M87" s="248">
        <f>203.2+209.85+271.55+53.65</f>
        <v>738.2499999999999</v>
      </c>
      <c r="N87" s="248">
        <v>599.55</v>
      </c>
      <c r="O87" s="248">
        <f>36.1+267.4+234.8</f>
        <v>538.3</v>
      </c>
      <c r="P87" s="248">
        <f>320.98+280.6</f>
        <v>601.58</v>
      </c>
      <c r="Q87" s="248">
        <v>647.3</v>
      </c>
      <c r="R87" s="248">
        <f>812.69-R88-R89</f>
        <v>774.99</v>
      </c>
      <c r="S87" s="215">
        <v>805.7</v>
      </c>
      <c r="T87" s="216">
        <f>883.15-23</f>
        <v>860.15</v>
      </c>
      <c r="U87" s="216">
        <v>834.53</v>
      </c>
      <c r="V87" s="216">
        <v>783.59</v>
      </c>
      <c r="W87" s="216">
        <v>793.14</v>
      </c>
      <c r="X87" s="216">
        <v>764.45</v>
      </c>
      <c r="Y87" s="216">
        <v>770.85</v>
      </c>
      <c r="Z87" s="216">
        <v>740.7</v>
      </c>
      <c r="AA87" s="216">
        <v>719.54</v>
      </c>
      <c r="AB87" s="216">
        <v>691.39</v>
      </c>
      <c r="AC87" s="216">
        <v>675.88</v>
      </c>
      <c r="AD87" s="216">
        <v>717.75</v>
      </c>
      <c r="AE87" s="216">
        <v>708.35</v>
      </c>
      <c r="AF87" s="215"/>
      <c r="AG87" s="333">
        <f>(AE87-AD87)/AD87</f>
        <v>-0.013096482061999272</v>
      </c>
      <c r="AH87" s="213"/>
    </row>
    <row r="88" spans="1:34" ht="12.75">
      <c r="A88" s="259"/>
      <c r="B88" s="250"/>
      <c r="C88" s="232" t="s">
        <v>756</v>
      </c>
      <c r="D88" s="233"/>
      <c r="E88" s="260">
        <v>10</v>
      </c>
      <c r="F88" s="260">
        <v>9.5</v>
      </c>
      <c r="G88" s="260">
        <v>6</v>
      </c>
      <c r="H88" s="269">
        <v>10</v>
      </c>
      <c r="I88" s="269">
        <v>11.65</v>
      </c>
      <c r="J88" s="269">
        <v>8.95</v>
      </c>
      <c r="K88" s="269">
        <v>13</v>
      </c>
      <c r="L88" s="269">
        <v>10</v>
      </c>
      <c r="M88" s="269">
        <v>11.55</v>
      </c>
      <c r="N88" s="269">
        <v>0</v>
      </c>
      <c r="O88" s="269">
        <v>7.08</v>
      </c>
      <c r="P88" s="269">
        <v>0</v>
      </c>
      <c r="Q88" s="269"/>
      <c r="R88" s="269">
        <v>11.2</v>
      </c>
      <c r="S88" s="235" t="s">
        <v>687</v>
      </c>
      <c r="T88" s="236" t="s">
        <v>687</v>
      </c>
      <c r="U88" s="236" t="s">
        <v>687</v>
      </c>
      <c r="V88" s="236" t="s">
        <v>687</v>
      </c>
      <c r="W88" s="236" t="s">
        <v>687</v>
      </c>
      <c r="X88" s="236" t="s">
        <v>687</v>
      </c>
      <c r="Y88" s="356" t="s">
        <v>687</v>
      </c>
      <c r="Z88" s="356" t="s">
        <v>687</v>
      </c>
      <c r="AA88" s="356" t="s">
        <v>687</v>
      </c>
      <c r="AB88" s="356" t="s">
        <v>687</v>
      </c>
      <c r="AC88" s="356" t="s">
        <v>687</v>
      </c>
      <c r="AD88" s="236" t="s">
        <v>687</v>
      </c>
      <c r="AE88" s="236" t="s">
        <v>687</v>
      </c>
      <c r="AF88" s="235"/>
      <c r="AG88" s="333"/>
      <c r="AH88" s="232"/>
    </row>
    <row r="89" spans="1:34" ht="12.75">
      <c r="A89" s="262"/>
      <c r="B89" s="229"/>
      <c r="C89" s="213" t="s">
        <v>757</v>
      </c>
      <c r="D89" s="230"/>
      <c r="E89" s="258"/>
      <c r="F89" s="258"/>
      <c r="G89" s="258"/>
      <c r="H89" s="239"/>
      <c r="I89" s="239"/>
      <c r="J89" s="239"/>
      <c r="K89" s="239"/>
      <c r="L89" s="239"/>
      <c r="M89" s="239"/>
      <c r="N89" s="239"/>
      <c r="O89" s="239"/>
      <c r="P89" s="239"/>
      <c r="Q89" s="239">
        <v>20</v>
      </c>
      <c r="R89" s="239">
        <v>26.5</v>
      </c>
      <c r="S89" s="215">
        <v>27.8</v>
      </c>
      <c r="T89" s="216">
        <v>23</v>
      </c>
      <c r="U89" s="216">
        <v>25</v>
      </c>
      <c r="V89" s="216">
        <v>21.7</v>
      </c>
      <c r="W89" s="216">
        <v>19</v>
      </c>
      <c r="X89" s="216">
        <v>22</v>
      </c>
      <c r="Y89" s="216">
        <v>22</v>
      </c>
      <c r="Z89" s="216">
        <v>21</v>
      </c>
      <c r="AA89" s="216">
        <v>21</v>
      </c>
      <c r="AB89" s="216">
        <v>29</v>
      </c>
      <c r="AC89" s="216">
        <v>20.75</v>
      </c>
      <c r="AD89" s="216">
        <v>24.85</v>
      </c>
      <c r="AE89" s="216">
        <v>27</v>
      </c>
      <c r="AF89" s="215"/>
      <c r="AG89" s="333">
        <f>(AE89-AD89)/AD89</f>
        <v>0.08651911468812871</v>
      </c>
      <c r="AH89" s="213"/>
    </row>
    <row r="90" spans="1:34" ht="12.75">
      <c r="A90" s="263"/>
      <c r="B90" s="240"/>
      <c r="C90" s="241"/>
      <c r="D90" s="242"/>
      <c r="E90" s="264"/>
      <c r="F90" s="264"/>
      <c r="G90" s="264"/>
      <c r="H90" s="243"/>
      <c r="I90" s="243"/>
      <c r="J90" s="270"/>
      <c r="K90" s="270"/>
      <c r="L90" s="270"/>
      <c r="M90" s="270"/>
      <c r="N90" s="270"/>
      <c r="O90" s="270"/>
      <c r="P90" s="270"/>
      <c r="Q90" s="270"/>
      <c r="R90" s="363"/>
      <c r="S90" s="257"/>
      <c r="T90" s="257"/>
      <c r="U90" s="257"/>
      <c r="V90" s="257"/>
      <c r="W90" s="257"/>
      <c r="X90" s="257"/>
      <c r="Y90" s="257"/>
      <c r="Z90" s="257"/>
      <c r="AA90" s="257"/>
      <c r="AB90" s="257"/>
      <c r="AC90" s="257"/>
      <c r="AD90" s="257"/>
      <c r="AE90" s="257"/>
      <c r="AF90" s="243">
        <f>SUM(AE87:AE89)</f>
        <v>735.35</v>
      </c>
      <c r="AG90" s="330"/>
      <c r="AH90" s="241"/>
    </row>
    <row r="91" spans="1:34" ht="12.75">
      <c r="A91" s="244" t="s">
        <v>697</v>
      </c>
      <c r="B91" s="229" t="s">
        <v>449</v>
      </c>
      <c r="C91" s="237" t="s">
        <v>758</v>
      </c>
      <c r="D91" s="230">
        <v>114.6</v>
      </c>
      <c r="E91" s="258">
        <v>106.9</v>
      </c>
      <c r="F91" s="258">
        <v>119.05</v>
      </c>
      <c r="G91" s="258">
        <v>118.25</v>
      </c>
      <c r="H91" s="238">
        <v>125.3</v>
      </c>
      <c r="I91" s="238">
        <v>112.75</v>
      </c>
      <c r="J91" s="238">
        <v>113</v>
      </c>
      <c r="K91" s="238">
        <v>89.2</v>
      </c>
      <c r="L91" s="238">
        <v>96</v>
      </c>
      <c r="M91" s="238">
        <v>79.4</v>
      </c>
      <c r="N91" s="238">
        <v>62.45</v>
      </c>
      <c r="O91" s="238">
        <v>63.5</v>
      </c>
      <c r="P91" s="238">
        <v>80.5</v>
      </c>
      <c r="Q91" s="238">
        <v>87.25</v>
      </c>
      <c r="R91" s="238">
        <v>81.25</v>
      </c>
      <c r="S91" s="215">
        <v>77.35</v>
      </c>
      <c r="T91" s="216">
        <v>52.95</v>
      </c>
      <c r="U91" s="216">
        <v>56.9</v>
      </c>
      <c r="V91" s="216">
        <v>43.25</v>
      </c>
      <c r="W91" s="216">
        <v>32</v>
      </c>
      <c r="X91" s="216">
        <v>38.85</v>
      </c>
      <c r="Y91" s="216">
        <v>31.5</v>
      </c>
      <c r="Z91" s="216">
        <v>23.1</v>
      </c>
      <c r="AA91" s="216">
        <v>15.55</v>
      </c>
      <c r="AB91" s="216">
        <v>19</v>
      </c>
      <c r="AC91" s="216">
        <v>32</v>
      </c>
      <c r="AD91" s="216">
        <v>31.25</v>
      </c>
      <c r="AE91" s="216">
        <v>33.75</v>
      </c>
      <c r="AF91" s="215"/>
      <c r="AG91" s="333">
        <f>(AE91-AD91)/AD91</f>
        <v>0.08</v>
      </c>
      <c r="AH91" s="213"/>
    </row>
    <row r="92" spans="1:34" ht="12.75">
      <c r="A92" s="373"/>
      <c r="B92" s="229"/>
      <c r="C92" s="237" t="s">
        <v>759</v>
      </c>
      <c r="D92" s="230">
        <v>24</v>
      </c>
      <c r="E92" s="258">
        <v>29.5</v>
      </c>
      <c r="F92" s="258">
        <v>30.1</v>
      </c>
      <c r="G92" s="258">
        <v>26.5</v>
      </c>
      <c r="H92" s="238">
        <v>27</v>
      </c>
      <c r="I92" s="238">
        <v>26</v>
      </c>
      <c r="J92" s="238">
        <v>27</v>
      </c>
      <c r="K92" s="238">
        <v>28</v>
      </c>
      <c r="L92" s="238">
        <v>39</v>
      </c>
      <c r="M92" s="238">
        <v>31</v>
      </c>
      <c r="N92" s="238">
        <v>30.65</v>
      </c>
      <c r="O92" s="238">
        <v>27.75</v>
      </c>
      <c r="P92" s="238">
        <v>22.55</v>
      </c>
      <c r="Q92" s="238">
        <v>24.65</v>
      </c>
      <c r="R92" s="238">
        <v>25.25</v>
      </c>
      <c r="S92" s="215">
        <v>19.6</v>
      </c>
      <c r="T92" s="216">
        <v>19</v>
      </c>
      <c r="U92" s="216">
        <v>25.3</v>
      </c>
      <c r="V92" s="216">
        <v>34.4</v>
      </c>
      <c r="W92" s="216">
        <v>35</v>
      </c>
      <c r="X92" s="216">
        <v>32.45</v>
      </c>
      <c r="Y92" s="216">
        <v>22</v>
      </c>
      <c r="Z92" s="216">
        <v>22</v>
      </c>
      <c r="AA92" s="216">
        <v>19</v>
      </c>
      <c r="AB92" s="216">
        <v>15.6</v>
      </c>
      <c r="AC92" s="216">
        <v>14</v>
      </c>
      <c r="AD92" s="216">
        <v>17</v>
      </c>
      <c r="AE92" s="216">
        <v>13.5</v>
      </c>
      <c r="AF92" s="215"/>
      <c r="AG92" s="333">
        <f>(AE92-AD92)/AD92</f>
        <v>-0.20588235294117646</v>
      </c>
      <c r="AH92" s="213"/>
    </row>
    <row r="93" spans="1:34" ht="12.75">
      <c r="A93" s="373"/>
      <c r="B93" s="229"/>
      <c r="C93" s="237" t="s">
        <v>760</v>
      </c>
      <c r="D93" s="230">
        <v>194.6</v>
      </c>
      <c r="E93" s="258">
        <v>193.2</v>
      </c>
      <c r="F93" s="258">
        <v>220.4</v>
      </c>
      <c r="G93" s="258">
        <v>230.4</v>
      </c>
      <c r="H93" s="238">
        <v>232.25</v>
      </c>
      <c r="I93" s="238">
        <v>239</v>
      </c>
      <c r="J93" s="238">
        <v>250.9</v>
      </c>
      <c r="K93" s="238">
        <v>232.65</v>
      </c>
      <c r="L93" s="238">
        <v>227.1</v>
      </c>
      <c r="M93" s="238">
        <v>216.1</v>
      </c>
      <c r="N93" s="238">
        <v>219.55</v>
      </c>
      <c r="O93" s="238">
        <v>196.25</v>
      </c>
      <c r="P93" s="238">
        <v>193.7</v>
      </c>
      <c r="Q93" s="238">
        <v>193.25</v>
      </c>
      <c r="R93" s="238">
        <v>198</v>
      </c>
      <c r="S93" s="215">
        <v>183.05</v>
      </c>
      <c r="T93" s="216">
        <v>171.15</v>
      </c>
      <c r="U93" s="216">
        <v>162.55</v>
      </c>
      <c r="V93" s="216">
        <v>155.85</v>
      </c>
      <c r="W93" s="216">
        <v>168.85</v>
      </c>
      <c r="X93" s="216">
        <v>178.75</v>
      </c>
      <c r="Y93" s="216">
        <v>176.25</v>
      </c>
      <c r="Z93" s="216">
        <v>186.01</v>
      </c>
      <c r="AA93" s="216">
        <v>174.25</v>
      </c>
      <c r="AB93" s="216">
        <v>173.67</v>
      </c>
      <c r="AC93" s="216">
        <v>159.78</v>
      </c>
      <c r="AD93" s="216">
        <v>166</v>
      </c>
      <c r="AE93" s="216">
        <v>175.8</v>
      </c>
      <c r="AF93" s="215"/>
      <c r="AG93" s="333">
        <f>(AE93-AD93)/AD93</f>
        <v>0.05903614457831332</v>
      </c>
      <c r="AH93" s="213"/>
    </row>
    <row r="94" spans="1:34" ht="12.75">
      <c r="A94" s="374"/>
      <c r="B94" s="364"/>
      <c r="C94" s="363"/>
      <c r="D94" s="242"/>
      <c r="E94" s="264"/>
      <c r="F94" s="264"/>
      <c r="G94" s="264"/>
      <c r="H94" s="243"/>
      <c r="I94" s="243"/>
      <c r="J94" s="243"/>
      <c r="K94" s="243"/>
      <c r="L94" s="243"/>
      <c r="M94" s="243"/>
      <c r="N94" s="243"/>
      <c r="O94" s="243"/>
      <c r="P94" s="243"/>
      <c r="Q94" s="243"/>
      <c r="R94" s="363"/>
      <c r="S94" s="257"/>
      <c r="T94" s="257"/>
      <c r="U94" s="257"/>
      <c r="V94" s="257"/>
      <c r="W94" s="257"/>
      <c r="X94" s="257"/>
      <c r="Y94" s="257"/>
      <c r="Z94" s="257"/>
      <c r="AA94" s="257"/>
      <c r="AB94" s="257"/>
      <c r="AC94" s="257"/>
      <c r="AD94" s="257"/>
      <c r="AE94" s="257"/>
      <c r="AF94" s="243">
        <f>SUM(AE91:AE93)</f>
        <v>223.05</v>
      </c>
      <c r="AG94" s="330"/>
      <c r="AH94" s="241"/>
    </row>
    <row r="95" spans="1:34" ht="12.75">
      <c r="A95" s="244" t="s">
        <v>697</v>
      </c>
      <c r="B95" s="229" t="s">
        <v>454</v>
      </c>
      <c r="C95" s="237" t="s">
        <v>454</v>
      </c>
      <c r="D95" s="230">
        <v>480.5</v>
      </c>
      <c r="E95" s="258">
        <v>504.1</v>
      </c>
      <c r="F95" s="258">
        <v>488.05</v>
      </c>
      <c r="G95" s="258">
        <v>485.5</v>
      </c>
      <c r="H95" s="238">
        <v>496.2</v>
      </c>
      <c r="I95" s="238">
        <v>524</v>
      </c>
      <c r="J95" s="238">
        <v>541.25</v>
      </c>
      <c r="K95" s="238">
        <f>339.45+243.7</f>
        <v>583.15</v>
      </c>
      <c r="L95" s="238">
        <v>548.05</v>
      </c>
      <c r="M95" s="238">
        <v>561.8</v>
      </c>
      <c r="N95" s="238">
        <v>579.85</v>
      </c>
      <c r="O95" s="238">
        <v>540.7</v>
      </c>
      <c r="P95" s="238">
        <v>520.66</v>
      </c>
      <c r="Q95" s="238">
        <v>513.13</v>
      </c>
      <c r="R95" s="238">
        <v>531.8</v>
      </c>
      <c r="S95" s="215">
        <v>504.9</v>
      </c>
      <c r="T95" s="216">
        <v>531.43</v>
      </c>
      <c r="U95" s="216">
        <v>499.7</v>
      </c>
      <c r="V95" s="216">
        <v>495.45</v>
      </c>
      <c r="W95" s="216">
        <v>469.52</v>
      </c>
      <c r="X95" s="216">
        <v>474.2</v>
      </c>
      <c r="Y95" s="216">
        <v>462.1</v>
      </c>
      <c r="Z95" s="216">
        <v>481.25</v>
      </c>
      <c r="AA95" s="216">
        <v>482.6</v>
      </c>
      <c r="AB95" s="216">
        <v>465.3</v>
      </c>
      <c r="AC95" s="216">
        <v>444.95</v>
      </c>
      <c r="AD95" s="216">
        <v>472.45</v>
      </c>
      <c r="AE95" s="216">
        <v>475.7</v>
      </c>
      <c r="AF95" s="215"/>
      <c r="AG95" s="333">
        <f>(AE95-AD95)/AD95</f>
        <v>0.006879034818499313</v>
      </c>
      <c r="AH95" s="213"/>
    </row>
    <row r="96" spans="1:34" ht="12.75">
      <c r="A96" s="263"/>
      <c r="B96" s="245"/>
      <c r="C96" s="241"/>
      <c r="D96" s="242"/>
      <c r="E96" s="264"/>
      <c r="F96" s="264"/>
      <c r="G96" s="264"/>
      <c r="H96" s="243"/>
      <c r="I96" s="243"/>
      <c r="J96" s="243"/>
      <c r="K96" s="243"/>
      <c r="L96" s="243"/>
      <c r="M96" s="243"/>
      <c r="N96" s="243"/>
      <c r="O96" s="243"/>
      <c r="P96" s="243"/>
      <c r="Q96" s="243"/>
      <c r="R96" s="243"/>
      <c r="S96" s="246"/>
      <c r="T96" s="246"/>
      <c r="U96" s="246"/>
      <c r="V96" s="246"/>
      <c r="W96" s="246"/>
      <c r="X96" s="246"/>
      <c r="Y96" s="246"/>
      <c r="Z96" s="246"/>
      <c r="AA96" s="246"/>
      <c r="AB96" s="246"/>
      <c r="AC96" s="246"/>
      <c r="AD96" s="246"/>
      <c r="AE96" s="246"/>
      <c r="AF96" s="246">
        <f>SUM(AE95:AE95)</f>
        <v>475.7</v>
      </c>
      <c r="AG96" s="330"/>
      <c r="AH96" s="241"/>
    </row>
    <row r="97" spans="1:34" ht="12.75">
      <c r="A97" s="244" t="s">
        <v>697</v>
      </c>
      <c r="B97" s="229" t="s">
        <v>456</v>
      </c>
      <c r="C97" s="237" t="s">
        <v>456</v>
      </c>
      <c r="D97" s="230">
        <v>9506.3</v>
      </c>
      <c r="E97" s="258">
        <v>9884.7</v>
      </c>
      <c r="F97" s="258">
        <v>10454.5</v>
      </c>
      <c r="G97" s="258">
        <v>10577.5</v>
      </c>
      <c r="H97" s="238">
        <v>10451</v>
      </c>
      <c r="I97" s="238">
        <v>10797</v>
      </c>
      <c r="J97" s="238">
        <v>11047.2</v>
      </c>
      <c r="K97" s="271">
        <f>6331.45+4881.64</f>
        <v>11213.09</v>
      </c>
      <c r="L97" s="271">
        <f>504.88+446.5+1447.74+599.23+815.1+511.3+1206.7+556.53+446.3+232.8+341.6+488.45+475.9+406.86+881.35+629.7+563.9-L102</f>
        <v>9925.14</v>
      </c>
      <c r="M97" s="271">
        <f>15366.65-M98-M99-M100-M101-42-M102</f>
        <v>9830.55</v>
      </c>
      <c r="N97" s="271">
        <v>9704.64</v>
      </c>
      <c r="O97" s="271">
        <v>9960.61</v>
      </c>
      <c r="P97" s="271">
        <f>9387.38</f>
        <v>9387.38</v>
      </c>
      <c r="Q97" s="271">
        <f>9062.76</f>
        <v>9062.76</v>
      </c>
      <c r="R97" s="271">
        <v>9280.97</v>
      </c>
      <c r="S97" s="215">
        <v>8906.51</v>
      </c>
      <c r="T97" s="216">
        <f>468.3+369.05+155+399.7+317.7+349.05+370.8+333.95+1275.97+373.25+420.3+391.65+374.35+505+531.95+474.45+1218.03+468.25+97.65+194.93+73.83+40</f>
        <v>9203.16</v>
      </c>
      <c r="U97" s="216">
        <v>8514.68</v>
      </c>
      <c r="V97" s="216">
        <v>8533.08</v>
      </c>
      <c r="W97" s="216">
        <v>8639.6</v>
      </c>
      <c r="X97" s="216">
        <v>8609.69</v>
      </c>
      <c r="Y97" s="216">
        <v>8737.91</v>
      </c>
      <c r="Z97" s="216">
        <v>8661.09</v>
      </c>
      <c r="AA97" s="216">
        <v>8552.96</v>
      </c>
      <c r="AB97" s="216">
        <v>8397.35</v>
      </c>
      <c r="AC97" s="216">
        <v>8440</v>
      </c>
      <c r="AD97" s="216">
        <v>8335.32</v>
      </c>
      <c r="AE97" s="216">
        <v>8296.82</v>
      </c>
      <c r="AF97" s="215"/>
      <c r="AG97" s="333">
        <f aca="true" t="shared" si="3" ref="AG97:AG102">(AE97-AD97)/AD97</f>
        <v>-0.004618898854513084</v>
      </c>
      <c r="AH97" s="213"/>
    </row>
    <row r="98" spans="1:34" ht="12.75">
      <c r="A98" s="373"/>
      <c r="B98" s="229"/>
      <c r="C98" s="237" t="s">
        <v>761</v>
      </c>
      <c r="D98" s="230">
        <v>3134.6</v>
      </c>
      <c r="E98" s="258">
        <v>3208.6</v>
      </c>
      <c r="F98" s="258">
        <v>3055.5</v>
      </c>
      <c r="G98" s="258">
        <v>3078.5</v>
      </c>
      <c r="H98" s="238">
        <v>3189</v>
      </c>
      <c r="I98" s="238">
        <v>3222</v>
      </c>
      <c r="J98" s="238">
        <v>3245.55</v>
      </c>
      <c r="K98" s="238">
        <f>1659.33+1621.5</f>
        <v>3280.83</v>
      </c>
      <c r="L98" s="238">
        <f>490.34+414.65+470.35+241.5+541.7+1024.8</f>
        <v>3183.34</v>
      </c>
      <c r="M98" s="238">
        <v>3092.36</v>
      </c>
      <c r="N98" s="238">
        <v>2925.59</v>
      </c>
      <c r="O98" s="238">
        <v>2487.81</v>
      </c>
      <c r="P98" s="238">
        <v>2856.44</v>
      </c>
      <c r="Q98" s="238">
        <v>2912.24</v>
      </c>
      <c r="R98" s="238">
        <v>2907.02</v>
      </c>
      <c r="S98" s="215">
        <v>2952.84</v>
      </c>
      <c r="T98" s="216">
        <f>576.3+513.45+882.4+440.08+524.45</f>
        <v>2936.6800000000003</v>
      </c>
      <c r="U98" s="216">
        <v>2962.69</v>
      </c>
      <c r="V98" s="216">
        <v>3035.84</v>
      </c>
      <c r="W98" s="216">
        <v>3082.55</v>
      </c>
      <c r="X98" s="216">
        <v>2988.64</v>
      </c>
      <c r="Y98" s="216">
        <v>2808.92</v>
      </c>
      <c r="Z98" s="398">
        <v>2910.67</v>
      </c>
      <c r="AA98" s="398">
        <v>2876.01</v>
      </c>
      <c r="AB98" s="398">
        <v>2910.04</v>
      </c>
      <c r="AC98" s="398">
        <v>2867.93</v>
      </c>
      <c r="AD98" s="398">
        <v>2853.3</v>
      </c>
      <c r="AE98" s="398">
        <v>2701.06</v>
      </c>
      <c r="AF98" s="215"/>
      <c r="AG98" s="333">
        <f t="shared" si="3"/>
        <v>-0.053355763501910146</v>
      </c>
      <c r="AH98" s="213"/>
    </row>
    <row r="99" spans="1:34" ht="12.75">
      <c r="A99" s="262"/>
      <c r="B99" s="229"/>
      <c r="C99" s="237" t="s">
        <v>762</v>
      </c>
      <c r="D99" s="230">
        <v>102.8</v>
      </c>
      <c r="E99" s="258">
        <v>89.2</v>
      </c>
      <c r="F99" s="258">
        <v>81</v>
      </c>
      <c r="G99" s="258">
        <v>73</v>
      </c>
      <c r="H99" s="238">
        <v>66.5</v>
      </c>
      <c r="I99" s="238">
        <v>85.5</v>
      </c>
      <c r="J99" s="238">
        <v>75.2</v>
      </c>
      <c r="K99" s="238">
        <v>86.63</v>
      </c>
      <c r="L99" s="238">
        <v>80.3</v>
      </c>
      <c r="M99" s="238">
        <v>76</v>
      </c>
      <c r="N99" s="238">
        <v>73.35</v>
      </c>
      <c r="O99" s="238">
        <v>79.95</v>
      </c>
      <c r="P99" s="238">
        <v>71.65</v>
      </c>
      <c r="Q99" s="238">
        <v>84.7</v>
      </c>
      <c r="R99" s="238">
        <v>98.2</v>
      </c>
      <c r="S99" s="215">
        <v>89.19</v>
      </c>
      <c r="T99" s="216">
        <v>99.5</v>
      </c>
      <c r="U99" s="216">
        <v>85.79</v>
      </c>
      <c r="V99" s="216">
        <v>97</v>
      </c>
      <c r="W99" s="216">
        <v>101</v>
      </c>
      <c r="X99" s="216">
        <v>88</v>
      </c>
      <c r="Y99" s="216">
        <v>83</v>
      </c>
      <c r="Z99" s="216">
        <v>84</v>
      </c>
      <c r="AA99" s="216">
        <v>76.01</v>
      </c>
      <c r="AB99" s="216">
        <v>68.8</v>
      </c>
      <c r="AC99" s="216">
        <v>77.65</v>
      </c>
      <c r="AD99" s="216">
        <v>73.25</v>
      </c>
      <c r="AE99" s="216">
        <v>69.24</v>
      </c>
      <c r="AF99" s="215"/>
      <c r="AG99" s="333">
        <f t="shared" si="3"/>
        <v>-0.054744027303754335</v>
      </c>
      <c r="AH99" s="213"/>
    </row>
    <row r="100" spans="1:34" ht="12.75">
      <c r="A100" s="262"/>
      <c r="B100" s="229"/>
      <c r="C100" s="237" t="s">
        <v>763</v>
      </c>
      <c r="D100" s="230">
        <v>112.5</v>
      </c>
      <c r="E100" s="258">
        <v>113.1</v>
      </c>
      <c r="F100" s="258">
        <v>109.5</v>
      </c>
      <c r="G100" s="258">
        <v>126</v>
      </c>
      <c r="H100" s="238">
        <v>118.5</v>
      </c>
      <c r="I100" s="238">
        <v>128.5</v>
      </c>
      <c r="J100" s="238">
        <v>118.5</v>
      </c>
      <c r="K100" s="238">
        <v>128.25</v>
      </c>
      <c r="L100" s="238">
        <v>119</v>
      </c>
      <c r="M100" s="238">
        <v>104.85</v>
      </c>
      <c r="N100" s="238">
        <v>103.2</v>
      </c>
      <c r="O100" s="238">
        <v>86.7</v>
      </c>
      <c r="P100" s="238">
        <v>98.65</v>
      </c>
      <c r="Q100" s="238">
        <v>96.35</v>
      </c>
      <c r="R100" s="238">
        <v>122.05</v>
      </c>
      <c r="S100" s="215">
        <v>113.05</v>
      </c>
      <c r="T100" s="216">
        <v>91.15</v>
      </c>
      <c r="U100" s="216">
        <v>107.12</v>
      </c>
      <c r="V100" s="216">
        <v>99.23</v>
      </c>
      <c r="W100" s="216">
        <v>92.55</v>
      </c>
      <c r="X100" s="216">
        <v>92.5</v>
      </c>
      <c r="Y100" s="216">
        <v>88.2</v>
      </c>
      <c r="Z100" s="216">
        <v>87.45</v>
      </c>
      <c r="AA100" s="216">
        <v>97.45</v>
      </c>
      <c r="AB100" s="216">
        <v>87.42</v>
      </c>
      <c r="AC100" s="216">
        <v>98.8</v>
      </c>
      <c r="AD100" s="216">
        <v>94.95</v>
      </c>
      <c r="AE100" s="216">
        <v>86.35</v>
      </c>
      <c r="AF100" s="215"/>
      <c r="AG100" s="333">
        <f t="shared" si="3"/>
        <v>-0.09057398630858356</v>
      </c>
      <c r="AH100" s="213"/>
    </row>
    <row r="101" spans="1:34" ht="12.75">
      <c r="A101" s="262"/>
      <c r="B101" s="229"/>
      <c r="C101" s="237" t="s">
        <v>764</v>
      </c>
      <c r="D101" s="230">
        <v>1389.6</v>
      </c>
      <c r="E101" s="258">
        <v>1587.6</v>
      </c>
      <c r="F101" s="258">
        <v>1550</v>
      </c>
      <c r="G101" s="258">
        <v>1553</v>
      </c>
      <c r="H101" s="238">
        <v>1581.5</v>
      </c>
      <c r="I101" s="238">
        <v>1583</v>
      </c>
      <c r="J101" s="238">
        <v>1645.2</v>
      </c>
      <c r="K101" s="238">
        <f>1038.6+600.4</f>
        <v>1639</v>
      </c>
      <c r="L101" s="238">
        <f>533.49+435.7+574.05</f>
        <v>1543.24</v>
      </c>
      <c r="M101" s="238">
        <f>488.05+615.88+567.25</f>
        <v>1671.18</v>
      </c>
      <c r="N101" s="238">
        <v>1657.15</v>
      </c>
      <c r="O101" s="238">
        <v>1600.66</v>
      </c>
      <c r="P101" s="238">
        <v>1572.16</v>
      </c>
      <c r="Q101" s="238">
        <v>1513.23</v>
      </c>
      <c r="R101" s="238">
        <v>1428.1</v>
      </c>
      <c r="S101" s="215">
        <v>1342.75</v>
      </c>
      <c r="T101" s="216">
        <f>347.25+596.25+378.65</f>
        <v>1322.15</v>
      </c>
      <c r="U101" s="216">
        <v>1150.4</v>
      </c>
      <c r="V101" s="216">
        <v>1102.2</v>
      </c>
      <c r="W101" s="216">
        <v>1107.15</v>
      </c>
      <c r="X101" s="216">
        <v>1092.88</v>
      </c>
      <c r="Y101" s="216">
        <v>1016.09</v>
      </c>
      <c r="Z101" s="216">
        <v>972.7</v>
      </c>
      <c r="AA101" s="216">
        <v>948.03</v>
      </c>
      <c r="AB101" s="216">
        <v>853.24</v>
      </c>
      <c r="AC101" s="216">
        <v>875.96</v>
      </c>
      <c r="AD101" s="216">
        <v>876.5</v>
      </c>
      <c r="AE101" s="216">
        <v>860.4200000000001</v>
      </c>
      <c r="AF101" s="215"/>
      <c r="AG101" s="333">
        <f t="shared" si="3"/>
        <v>-0.01834569309754698</v>
      </c>
      <c r="AH101" s="213"/>
    </row>
    <row r="102" spans="1:34" ht="12.75">
      <c r="A102" s="262"/>
      <c r="B102" s="229"/>
      <c r="C102" s="237" t="s">
        <v>1247</v>
      </c>
      <c r="D102" s="230"/>
      <c r="E102" s="258"/>
      <c r="F102" s="258"/>
      <c r="G102" s="258"/>
      <c r="H102" s="238"/>
      <c r="I102" s="238"/>
      <c r="J102" s="238"/>
      <c r="K102" s="238"/>
      <c r="L102" s="238">
        <v>629.7</v>
      </c>
      <c r="M102" s="238">
        <v>549.71</v>
      </c>
      <c r="N102" s="238">
        <v>639.36</v>
      </c>
      <c r="O102" s="238">
        <v>687.9</v>
      </c>
      <c r="P102" s="238">
        <v>702.2</v>
      </c>
      <c r="Q102" s="238">
        <v>504.08</v>
      </c>
      <c r="R102" s="238">
        <v>498.7</v>
      </c>
      <c r="S102" s="215">
        <v>414.54</v>
      </c>
      <c r="T102" s="216">
        <v>509.15</v>
      </c>
      <c r="U102" s="216">
        <v>532.28</v>
      </c>
      <c r="V102" s="216">
        <v>531.15</v>
      </c>
      <c r="W102" s="216">
        <v>522.25</v>
      </c>
      <c r="X102" s="216">
        <v>475.36</v>
      </c>
      <c r="Y102" s="216">
        <v>569.53</v>
      </c>
      <c r="Z102" s="216">
        <v>569.3</v>
      </c>
      <c r="AA102" s="216">
        <v>530.05</v>
      </c>
      <c r="AB102" s="216">
        <v>524.51</v>
      </c>
      <c r="AC102" s="216">
        <v>535.57</v>
      </c>
      <c r="AD102" s="216">
        <v>535.36</v>
      </c>
      <c r="AE102" s="216">
        <v>530.26</v>
      </c>
      <c r="AF102" s="215"/>
      <c r="AG102" s="333">
        <f t="shared" si="3"/>
        <v>-0.009526300059772905</v>
      </c>
      <c r="AH102" s="213"/>
    </row>
    <row r="103" spans="1:34" ht="12.75">
      <c r="A103" s="263"/>
      <c r="B103" s="245"/>
      <c r="C103" s="241"/>
      <c r="D103" s="242"/>
      <c r="E103" s="264"/>
      <c r="F103" s="264"/>
      <c r="G103" s="264"/>
      <c r="H103" s="243"/>
      <c r="I103" s="243"/>
      <c r="J103" s="243"/>
      <c r="K103" s="243"/>
      <c r="L103" s="243"/>
      <c r="M103" s="243"/>
      <c r="N103" s="243"/>
      <c r="O103" s="243"/>
      <c r="P103" s="243"/>
      <c r="Q103" s="243"/>
      <c r="R103" s="363"/>
      <c r="S103" s="257"/>
      <c r="T103" s="257"/>
      <c r="U103" s="257"/>
      <c r="V103" s="257"/>
      <c r="W103" s="257"/>
      <c r="X103" s="257"/>
      <c r="Y103" s="257"/>
      <c r="Z103" s="257"/>
      <c r="AA103" s="257"/>
      <c r="AB103" s="257"/>
      <c r="AC103" s="257"/>
      <c r="AD103" s="257"/>
      <c r="AE103" s="257"/>
      <c r="AF103" s="246">
        <f>SUM(AE97:AE102)</f>
        <v>12544.15</v>
      </c>
      <c r="AG103" s="330"/>
      <c r="AH103" s="241"/>
    </row>
    <row r="104" spans="1:34" ht="12.75">
      <c r="A104" s="244" t="s">
        <v>697</v>
      </c>
      <c r="B104" s="229" t="s">
        <v>463</v>
      </c>
      <c r="C104" s="237" t="s">
        <v>463</v>
      </c>
      <c r="D104" s="230">
        <v>121.4</v>
      </c>
      <c r="E104" s="258">
        <v>142.3</v>
      </c>
      <c r="F104" s="258">
        <v>128.45</v>
      </c>
      <c r="G104" s="258">
        <v>133.1</v>
      </c>
      <c r="H104" s="238">
        <v>142</v>
      </c>
      <c r="I104" s="238">
        <v>149.1</v>
      </c>
      <c r="J104" s="238">
        <v>161</v>
      </c>
      <c r="K104" s="238">
        <f>110+96</f>
        <v>206</v>
      </c>
      <c r="L104" s="238">
        <v>237</v>
      </c>
      <c r="M104" s="238">
        <f>122+45</f>
        <v>167</v>
      </c>
      <c r="N104" s="238">
        <v>177</v>
      </c>
      <c r="O104" s="238">
        <f>90.15+86.35</f>
        <v>176.5</v>
      </c>
      <c r="P104" s="238">
        <f>87+76</f>
        <v>163</v>
      </c>
      <c r="Q104" s="238">
        <v>222.6</v>
      </c>
      <c r="R104" s="238">
        <v>205.85</v>
      </c>
      <c r="S104" s="215">
        <v>123.2</v>
      </c>
      <c r="T104" s="216">
        <v>226.55</v>
      </c>
      <c r="U104" s="216">
        <v>233.15</v>
      </c>
      <c r="V104" s="216">
        <v>222.25</v>
      </c>
      <c r="W104" s="216">
        <v>270.5</v>
      </c>
      <c r="X104" s="216">
        <v>293.35</v>
      </c>
      <c r="Y104" s="216">
        <v>294.3</v>
      </c>
      <c r="Z104" s="216">
        <v>310.45</v>
      </c>
      <c r="AA104" s="216">
        <v>285.25</v>
      </c>
      <c r="AB104" s="216">
        <v>300.7</v>
      </c>
      <c r="AC104" s="216">
        <v>313.95</v>
      </c>
      <c r="AD104" s="216">
        <v>310.2</v>
      </c>
      <c r="AE104" s="216">
        <v>316.1</v>
      </c>
      <c r="AF104" s="215"/>
      <c r="AG104" s="333">
        <f>(AE104-AD104)/AD104</f>
        <v>0.0190199871050936</v>
      </c>
      <c r="AH104" s="213"/>
    </row>
    <row r="105" spans="1:34" ht="12.75">
      <c r="A105" s="263"/>
      <c r="B105" s="245"/>
      <c r="C105" s="241"/>
      <c r="D105" s="242"/>
      <c r="E105" s="264"/>
      <c r="F105" s="264"/>
      <c r="G105" s="264"/>
      <c r="H105" s="243"/>
      <c r="I105" s="243"/>
      <c r="J105" s="243"/>
      <c r="K105" s="243"/>
      <c r="L105" s="243"/>
      <c r="M105" s="243"/>
      <c r="N105" s="243"/>
      <c r="O105" s="243"/>
      <c r="P105" s="243"/>
      <c r="Q105" s="243"/>
      <c r="R105" s="243"/>
      <c r="S105" s="246"/>
      <c r="T105" s="246"/>
      <c r="U105" s="246"/>
      <c r="V105" s="246"/>
      <c r="W105" s="246"/>
      <c r="X105" s="246"/>
      <c r="Y105" s="246"/>
      <c r="Z105" s="246"/>
      <c r="AA105" s="246"/>
      <c r="AB105" s="246"/>
      <c r="AC105" s="246"/>
      <c r="AD105" s="246"/>
      <c r="AE105" s="246"/>
      <c r="AF105" s="246">
        <f>SUM(AE104:AE104)</f>
        <v>316.1</v>
      </c>
      <c r="AG105" s="330"/>
      <c r="AH105" s="241"/>
    </row>
    <row r="106" spans="1:34" ht="12.75">
      <c r="A106" s="244" t="s">
        <v>697</v>
      </c>
      <c r="B106" s="229" t="s">
        <v>465</v>
      </c>
      <c r="C106" s="237" t="s">
        <v>465</v>
      </c>
      <c r="D106" s="230">
        <v>380</v>
      </c>
      <c r="E106" s="258">
        <v>413.8</v>
      </c>
      <c r="F106" s="258">
        <v>413.4</v>
      </c>
      <c r="G106" s="258">
        <v>394.05</v>
      </c>
      <c r="H106" s="238">
        <v>403.15</v>
      </c>
      <c r="I106" s="238">
        <v>426.9</v>
      </c>
      <c r="J106" s="238">
        <v>436.4</v>
      </c>
      <c r="K106" s="238">
        <v>425.4</v>
      </c>
      <c r="L106" s="238">
        <v>424.75</v>
      </c>
      <c r="M106" s="238">
        <f>182.5+135.25+67.55</f>
        <v>385.3</v>
      </c>
      <c r="N106" s="238">
        <f>375.15</f>
        <v>375.15</v>
      </c>
      <c r="O106" s="238">
        <f>178.25+128.55+52.4</f>
        <v>359.2</v>
      </c>
      <c r="P106" s="238">
        <f>300.95</f>
        <v>300.95</v>
      </c>
      <c r="Q106" s="238">
        <f>135.89+153.1</f>
        <v>288.99</v>
      </c>
      <c r="R106" s="238">
        <v>265.47</v>
      </c>
      <c r="S106" s="215">
        <v>256.4</v>
      </c>
      <c r="T106" s="216">
        <f>171.15+98.25</f>
        <v>269.4</v>
      </c>
      <c r="U106" s="216">
        <v>286.4</v>
      </c>
      <c r="V106" s="216">
        <v>272.25</v>
      </c>
      <c r="W106" s="216">
        <v>282.09</v>
      </c>
      <c r="X106" s="216">
        <v>278.15</v>
      </c>
      <c r="Y106" s="216">
        <v>285.7</v>
      </c>
      <c r="Z106" s="216">
        <v>264.05</v>
      </c>
      <c r="AA106" s="216">
        <v>250.75</v>
      </c>
      <c r="AB106" s="216">
        <v>258.54</v>
      </c>
      <c r="AC106" s="216">
        <v>257.31</v>
      </c>
      <c r="AD106" s="216">
        <v>240.55</v>
      </c>
      <c r="AE106" s="216">
        <v>252.97</v>
      </c>
      <c r="AF106" s="215"/>
      <c r="AG106" s="333">
        <f>(AE106-AD106)/AD106</f>
        <v>0.051631677405944654</v>
      </c>
      <c r="AH106" s="213"/>
    </row>
    <row r="107" spans="1:34" ht="12.75">
      <c r="A107" s="262"/>
      <c r="B107" s="229"/>
      <c r="C107" s="237" t="s">
        <v>765</v>
      </c>
      <c r="D107" s="230">
        <v>20</v>
      </c>
      <c r="E107" s="258">
        <v>20.1</v>
      </c>
      <c r="F107" s="258">
        <v>18.9</v>
      </c>
      <c r="G107" s="258">
        <v>15</v>
      </c>
      <c r="H107" s="238">
        <v>10</v>
      </c>
      <c r="I107" s="238">
        <v>8</v>
      </c>
      <c r="J107" s="238">
        <v>8.5</v>
      </c>
      <c r="K107" s="238">
        <v>13</v>
      </c>
      <c r="L107" s="238">
        <v>9</v>
      </c>
      <c r="M107" s="238">
        <v>16.4</v>
      </c>
      <c r="N107" s="238">
        <v>10.5</v>
      </c>
      <c r="O107" s="238">
        <v>10</v>
      </c>
      <c r="P107" s="238">
        <v>11</v>
      </c>
      <c r="Q107" s="238">
        <v>14</v>
      </c>
      <c r="R107" s="238">
        <v>11.1</v>
      </c>
      <c r="S107" s="215">
        <v>14</v>
      </c>
      <c r="T107" s="216">
        <v>10.35</v>
      </c>
      <c r="U107" s="216">
        <v>14.65</v>
      </c>
      <c r="V107" s="216">
        <v>18</v>
      </c>
      <c r="W107" s="216">
        <v>14</v>
      </c>
      <c r="X107" s="216">
        <v>15</v>
      </c>
      <c r="Y107" s="216">
        <v>14.45</v>
      </c>
      <c r="Z107" s="216">
        <v>10</v>
      </c>
      <c r="AA107" s="216">
        <v>9</v>
      </c>
      <c r="AB107" s="356" t="s">
        <v>687</v>
      </c>
      <c r="AC107" s="356" t="s">
        <v>687</v>
      </c>
      <c r="AD107" s="236" t="s">
        <v>687</v>
      </c>
      <c r="AE107" s="236" t="s">
        <v>687</v>
      </c>
      <c r="AF107" s="215"/>
      <c r="AG107" s="333"/>
      <c r="AH107" s="213"/>
    </row>
    <row r="108" spans="1:34" ht="12.75">
      <c r="A108" s="259"/>
      <c r="B108" s="250"/>
      <c r="C108" s="251" t="s">
        <v>766</v>
      </c>
      <c r="D108" s="233">
        <v>15</v>
      </c>
      <c r="E108" s="260">
        <v>14</v>
      </c>
      <c r="F108" s="272" t="s">
        <v>687</v>
      </c>
      <c r="G108" s="272" t="s">
        <v>687</v>
      </c>
      <c r="H108" s="272" t="s">
        <v>687</v>
      </c>
      <c r="I108" s="272" t="s">
        <v>687</v>
      </c>
      <c r="J108" s="272" t="s">
        <v>687</v>
      </c>
      <c r="K108" s="272" t="s">
        <v>687</v>
      </c>
      <c r="L108" s="272" t="s">
        <v>687</v>
      </c>
      <c r="M108" s="272" t="s">
        <v>687</v>
      </c>
      <c r="N108" s="272" t="s">
        <v>687</v>
      </c>
      <c r="O108" s="272" t="s">
        <v>687</v>
      </c>
      <c r="P108" s="272" t="s">
        <v>687</v>
      </c>
      <c r="Q108" s="272" t="s">
        <v>687</v>
      </c>
      <c r="R108" s="272" t="s">
        <v>687</v>
      </c>
      <c r="S108" s="272" t="s">
        <v>687</v>
      </c>
      <c r="T108" s="236" t="s">
        <v>687</v>
      </c>
      <c r="U108" s="236" t="s">
        <v>687</v>
      </c>
      <c r="V108" s="236" t="s">
        <v>687</v>
      </c>
      <c r="W108" s="236" t="s">
        <v>687</v>
      </c>
      <c r="X108" s="236" t="s">
        <v>687</v>
      </c>
      <c r="Y108" s="356" t="s">
        <v>687</v>
      </c>
      <c r="Z108" s="356" t="s">
        <v>687</v>
      </c>
      <c r="AA108" s="356" t="s">
        <v>687</v>
      </c>
      <c r="AB108" s="356" t="s">
        <v>687</v>
      </c>
      <c r="AC108" s="356" t="s">
        <v>687</v>
      </c>
      <c r="AD108" s="236" t="s">
        <v>687</v>
      </c>
      <c r="AE108" s="236" t="s">
        <v>687</v>
      </c>
      <c r="AF108" s="261"/>
      <c r="AG108" s="329"/>
      <c r="AH108" s="232"/>
    </row>
    <row r="109" spans="1:34" ht="12.75">
      <c r="A109" s="374"/>
      <c r="B109" s="364"/>
      <c r="C109" s="363"/>
      <c r="D109" s="242"/>
      <c r="E109" s="264"/>
      <c r="F109" s="264"/>
      <c r="G109" s="264"/>
      <c r="H109" s="243"/>
      <c r="I109" s="243"/>
      <c r="J109" s="242"/>
      <c r="K109" s="242"/>
      <c r="L109" s="242"/>
      <c r="M109" s="242"/>
      <c r="N109" s="242"/>
      <c r="O109" s="242"/>
      <c r="P109" s="242"/>
      <c r="Q109" s="242"/>
      <c r="R109" s="242"/>
      <c r="S109" s="246"/>
      <c r="T109" s="246"/>
      <c r="U109" s="246"/>
      <c r="V109" s="246"/>
      <c r="W109" s="246"/>
      <c r="X109" s="246"/>
      <c r="Y109" s="246"/>
      <c r="Z109" s="246"/>
      <c r="AA109" s="246"/>
      <c r="AB109" s="246"/>
      <c r="AC109" s="246"/>
      <c r="AD109" s="246"/>
      <c r="AE109" s="246"/>
      <c r="AF109" s="246">
        <f>SUM(AE106:AE107)</f>
        <v>252.97</v>
      </c>
      <c r="AG109" s="330"/>
      <c r="AH109" s="241"/>
    </row>
    <row r="110" spans="1:34" ht="12.75">
      <c r="A110" s="244" t="s">
        <v>697</v>
      </c>
      <c r="B110" s="229" t="s">
        <v>467</v>
      </c>
      <c r="C110" s="237" t="s">
        <v>467</v>
      </c>
      <c r="D110" s="230">
        <v>234</v>
      </c>
      <c r="E110" s="258">
        <v>230</v>
      </c>
      <c r="F110" s="258">
        <v>269</v>
      </c>
      <c r="G110" s="258">
        <v>267</v>
      </c>
      <c r="H110" s="238">
        <v>259.4</v>
      </c>
      <c r="I110" s="238">
        <v>273.7</v>
      </c>
      <c r="J110" s="238">
        <v>271</v>
      </c>
      <c r="K110" s="238">
        <v>260.15</v>
      </c>
      <c r="L110" s="238">
        <v>230.85</v>
      </c>
      <c r="M110" s="238">
        <v>236.75</v>
      </c>
      <c r="N110" s="238">
        <v>226.9</v>
      </c>
      <c r="O110" s="238">
        <v>211.3</v>
      </c>
      <c r="P110" s="238">
        <v>188.4</v>
      </c>
      <c r="Q110" s="238">
        <v>179.4</v>
      </c>
      <c r="R110" s="238">
        <v>171.7</v>
      </c>
      <c r="S110" s="215">
        <v>166.5</v>
      </c>
      <c r="T110" s="216">
        <v>152.95</v>
      </c>
      <c r="U110" s="216">
        <v>131.4</v>
      </c>
      <c r="V110" s="216">
        <v>123.45</v>
      </c>
      <c r="W110" s="216">
        <v>106.07</v>
      </c>
      <c r="X110" s="216">
        <v>120.7</v>
      </c>
      <c r="Y110" s="216">
        <v>113.75</v>
      </c>
      <c r="Z110" s="216">
        <v>114.3</v>
      </c>
      <c r="AA110" s="216">
        <v>101.8</v>
      </c>
      <c r="AB110" s="216">
        <v>112.2</v>
      </c>
      <c r="AC110" s="216">
        <v>115.45</v>
      </c>
      <c r="AD110" s="216">
        <v>107.75</v>
      </c>
      <c r="AE110" s="216">
        <v>117.25</v>
      </c>
      <c r="AF110" s="215"/>
      <c r="AG110" s="333">
        <f>(AE110-AD110)/AD110</f>
        <v>0.08816705336426914</v>
      </c>
      <c r="AH110" s="213"/>
    </row>
    <row r="111" spans="1:34" ht="12.75">
      <c r="A111" s="263"/>
      <c r="B111" s="245"/>
      <c r="C111" s="241"/>
      <c r="D111" s="242"/>
      <c r="E111" s="264"/>
      <c r="F111" s="264"/>
      <c r="G111" s="264"/>
      <c r="H111" s="243"/>
      <c r="I111" s="243"/>
      <c r="J111" s="243"/>
      <c r="K111" s="243"/>
      <c r="L111" s="243"/>
      <c r="M111" s="243"/>
      <c r="N111" s="243"/>
      <c r="O111" s="243"/>
      <c r="P111" s="243"/>
      <c r="Q111" s="243"/>
      <c r="R111" s="243"/>
      <c r="S111" s="246"/>
      <c r="T111" s="246"/>
      <c r="U111" s="246"/>
      <c r="V111" s="246"/>
      <c r="W111" s="246"/>
      <c r="X111" s="246"/>
      <c r="Y111" s="246"/>
      <c r="Z111" s="246"/>
      <c r="AA111" s="246"/>
      <c r="AB111" s="246"/>
      <c r="AC111" s="246"/>
      <c r="AD111" s="246"/>
      <c r="AE111" s="246"/>
      <c r="AF111" s="246">
        <f>SUM(AE110:AE110)</f>
        <v>117.25</v>
      </c>
      <c r="AG111" s="330"/>
      <c r="AH111" s="241"/>
    </row>
    <row r="112" spans="1:34" ht="12.75">
      <c r="A112" s="244" t="s">
        <v>697</v>
      </c>
      <c r="B112" s="229" t="s">
        <v>469</v>
      </c>
      <c r="C112" s="237" t="s">
        <v>469</v>
      </c>
      <c r="D112" s="230">
        <v>108.4</v>
      </c>
      <c r="E112" s="258">
        <v>119</v>
      </c>
      <c r="F112" s="258">
        <v>115.8</v>
      </c>
      <c r="G112" s="258">
        <v>109.2</v>
      </c>
      <c r="H112" s="238">
        <v>107.5</v>
      </c>
      <c r="I112" s="238">
        <v>104</v>
      </c>
      <c r="J112" s="238">
        <v>117</v>
      </c>
      <c r="K112" s="238">
        <v>123</v>
      </c>
      <c r="L112" s="238">
        <v>110.5</v>
      </c>
      <c r="M112" s="238">
        <v>107.85</v>
      </c>
      <c r="N112" s="238">
        <v>102.85</v>
      </c>
      <c r="O112" s="238">
        <v>100.1</v>
      </c>
      <c r="P112" s="238">
        <v>92.2</v>
      </c>
      <c r="Q112" s="238">
        <v>86.85</v>
      </c>
      <c r="R112" s="238">
        <v>74.5</v>
      </c>
      <c r="S112" s="215">
        <v>72.5</v>
      </c>
      <c r="T112" s="216">
        <v>79.6</v>
      </c>
      <c r="U112" s="216">
        <v>75.45</v>
      </c>
      <c r="V112" s="216">
        <v>66.63</v>
      </c>
      <c r="W112" s="216">
        <v>51.85</v>
      </c>
      <c r="X112" s="216">
        <v>62.65</v>
      </c>
      <c r="Y112" s="216">
        <v>44</v>
      </c>
      <c r="Z112" s="216">
        <v>53.45</v>
      </c>
      <c r="AA112" s="216">
        <v>66.1</v>
      </c>
      <c r="AB112" s="216">
        <v>70</v>
      </c>
      <c r="AC112" s="216">
        <v>81.4</v>
      </c>
      <c r="AD112" s="216">
        <v>67.65</v>
      </c>
      <c r="AE112" s="216">
        <v>73.7</v>
      </c>
      <c r="AF112" s="215"/>
      <c r="AG112" s="333">
        <f>(AE112-AD112)/AD112</f>
        <v>0.08943089430894303</v>
      </c>
      <c r="AH112" s="213"/>
    </row>
    <row r="113" spans="1:34" ht="12.75">
      <c r="A113" s="263"/>
      <c r="B113" s="245"/>
      <c r="C113" s="241"/>
      <c r="D113" s="242"/>
      <c r="E113" s="264"/>
      <c r="F113" s="264"/>
      <c r="G113" s="264"/>
      <c r="H113" s="243"/>
      <c r="I113" s="243"/>
      <c r="J113" s="243"/>
      <c r="K113" s="243"/>
      <c r="L113" s="243"/>
      <c r="M113" s="243"/>
      <c r="N113" s="243"/>
      <c r="O113" s="243"/>
      <c r="P113" s="243"/>
      <c r="Q113" s="243"/>
      <c r="R113" s="243"/>
      <c r="S113" s="246"/>
      <c r="T113" s="246"/>
      <c r="U113" s="246"/>
      <c r="V113" s="246"/>
      <c r="W113" s="246"/>
      <c r="X113" s="246"/>
      <c r="Y113" s="246"/>
      <c r="Z113" s="246"/>
      <c r="AA113" s="246"/>
      <c r="AB113" s="246"/>
      <c r="AC113" s="246"/>
      <c r="AD113" s="246"/>
      <c r="AE113" s="246"/>
      <c r="AF113" s="246">
        <f>SUM(AE112:AE112)</f>
        <v>73.7</v>
      </c>
      <c r="AG113" s="330"/>
      <c r="AH113" s="241"/>
    </row>
    <row r="114" spans="1:34" ht="12.75">
      <c r="A114" s="244" t="s">
        <v>685</v>
      </c>
      <c r="B114" s="229" t="s">
        <v>471</v>
      </c>
      <c r="C114" s="237" t="s">
        <v>767</v>
      </c>
      <c r="D114" s="230">
        <v>21</v>
      </c>
      <c r="E114" s="258">
        <v>23</v>
      </c>
      <c r="F114" s="258">
        <v>22.95</v>
      </c>
      <c r="G114" s="258">
        <v>26</v>
      </c>
      <c r="H114" s="238">
        <v>21.45</v>
      </c>
      <c r="I114" s="238">
        <v>26.4</v>
      </c>
      <c r="J114" s="238">
        <v>20.35</v>
      </c>
      <c r="K114" s="238">
        <v>29</v>
      </c>
      <c r="L114" s="238">
        <v>27.85</v>
      </c>
      <c r="M114" s="238">
        <v>26</v>
      </c>
      <c r="N114" s="238">
        <v>25.95</v>
      </c>
      <c r="O114" s="238">
        <v>22.18</v>
      </c>
      <c r="P114" s="238">
        <v>23.75</v>
      </c>
      <c r="Q114" s="238">
        <v>24</v>
      </c>
      <c r="R114" s="238">
        <v>27.5</v>
      </c>
      <c r="S114" s="215">
        <v>24.75</v>
      </c>
      <c r="T114" s="216">
        <v>24.4</v>
      </c>
      <c r="U114" s="216">
        <v>17.5</v>
      </c>
      <c r="V114" s="216">
        <v>17.95</v>
      </c>
      <c r="W114" s="216">
        <v>21</v>
      </c>
      <c r="X114" s="216">
        <v>14</v>
      </c>
      <c r="Y114" s="216">
        <v>17.65</v>
      </c>
      <c r="Z114" s="216">
        <v>22.11</v>
      </c>
      <c r="AA114" s="216">
        <v>18.25</v>
      </c>
      <c r="AB114" s="216">
        <v>12.2</v>
      </c>
      <c r="AC114" s="216">
        <v>11.98</v>
      </c>
      <c r="AD114" s="216">
        <v>17</v>
      </c>
      <c r="AE114" s="216">
        <v>18.6</v>
      </c>
      <c r="AF114" s="215"/>
      <c r="AG114" s="333">
        <f>(AE114-AD114)/AD114</f>
        <v>0.09411764705882361</v>
      </c>
      <c r="AH114" s="213"/>
    </row>
    <row r="115" spans="1:34" ht="12.75">
      <c r="A115" s="373"/>
      <c r="B115" s="229"/>
      <c r="C115" s="237" t="s">
        <v>768</v>
      </c>
      <c r="D115" s="230">
        <v>56.8</v>
      </c>
      <c r="E115" s="258">
        <v>62</v>
      </c>
      <c r="F115" s="258">
        <v>63</v>
      </c>
      <c r="G115" s="258">
        <v>63.75</v>
      </c>
      <c r="H115" s="238">
        <v>60.95</v>
      </c>
      <c r="I115" s="238">
        <v>70.35</v>
      </c>
      <c r="J115" s="238">
        <v>67.85</v>
      </c>
      <c r="K115" s="238">
        <v>75</v>
      </c>
      <c r="L115" s="238">
        <v>68.9</v>
      </c>
      <c r="M115" s="238">
        <v>70</v>
      </c>
      <c r="N115" s="238">
        <v>57.85</v>
      </c>
      <c r="O115" s="238">
        <v>61</v>
      </c>
      <c r="P115" s="238">
        <v>52</v>
      </c>
      <c r="Q115" s="238">
        <v>60.1</v>
      </c>
      <c r="R115" s="238">
        <v>44.4</v>
      </c>
      <c r="S115" s="215">
        <v>42.25</v>
      </c>
      <c r="T115" s="216">
        <v>43.65</v>
      </c>
      <c r="U115" s="216">
        <v>42.8</v>
      </c>
      <c r="V115" s="216">
        <v>40.95</v>
      </c>
      <c r="W115" s="216">
        <v>43.05</v>
      </c>
      <c r="X115" s="216">
        <v>44.3</v>
      </c>
      <c r="Y115" s="216">
        <v>41.6</v>
      </c>
      <c r="Z115" s="216">
        <v>34.8</v>
      </c>
      <c r="AA115" s="216">
        <v>34.1</v>
      </c>
      <c r="AB115" s="216">
        <v>48</v>
      </c>
      <c r="AC115" s="216">
        <v>43.95</v>
      </c>
      <c r="AD115" s="216">
        <v>40.7</v>
      </c>
      <c r="AE115" s="216">
        <v>45.55</v>
      </c>
      <c r="AF115" s="215"/>
      <c r="AG115" s="333">
        <f>(AE115-AD115)/AD115</f>
        <v>0.11916461916461901</v>
      </c>
      <c r="AH115" s="213"/>
    </row>
    <row r="116" spans="1:34" ht="12.75">
      <c r="A116" s="373"/>
      <c r="B116" s="229"/>
      <c r="C116" s="237" t="s">
        <v>769</v>
      </c>
      <c r="D116" s="230">
        <v>59.1</v>
      </c>
      <c r="E116" s="258">
        <v>58.65</v>
      </c>
      <c r="F116" s="258">
        <v>72.35</v>
      </c>
      <c r="G116" s="258">
        <v>71.05</v>
      </c>
      <c r="H116" s="238">
        <v>69.35</v>
      </c>
      <c r="I116" s="238">
        <v>71</v>
      </c>
      <c r="J116" s="238">
        <v>69.25</v>
      </c>
      <c r="K116" s="238">
        <v>76.55</v>
      </c>
      <c r="L116" s="238">
        <v>58.45</v>
      </c>
      <c r="M116" s="238">
        <v>55.5</v>
      </c>
      <c r="N116" s="238">
        <v>60</v>
      </c>
      <c r="O116" s="238">
        <v>62.61</v>
      </c>
      <c r="P116" s="238">
        <v>56.2</v>
      </c>
      <c r="Q116" s="238">
        <v>52.4</v>
      </c>
      <c r="R116" s="238">
        <v>55.25</v>
      </c>
      <c r="S116" s="215">
        <v>43.54</v>
      </c>
      <c r="T116" s="216">
        <v>48.2</v>
      </c>
      <c r="U116" s="216">
        <v>44.35</v>
      </c>
      <c r="V116" s="216">
        <v>49.9</v>
      </c>
      <c r="W116" s="216">
        <v>42</v>
      </c>
      <c r="X116" s="216">
        <v>40.8</v>
      </c>
      <c r="Y116" s="216">
        <v>45.25</v>
      </c>
      <c r="Z116" s="216">
        <v>44.45</v>
      </c>
      <c r="AA116" s="216">
        <v>40</v>
      </c>
      <c r="AB116" s="216">
        <v>41</v>
      </c>
      <c r="AC116" s="216">
        <v>37.35</v>
      </c>
      <c r="AD116" s="216">
        <v>31.5</v>
      </c>
      <c r="AE116" s="216">
        <v>27.700000000000003</v>
      </c>
      <c r="AF116" s="215"/>
      <c r="AG116" s="333">
        <f>(AE116-AD116)/AD116</f>
        <v>-0.12063492063492054</v>
      </c>
      <c r="AH116" s="213"/>
    </row>
    <row r="117" spans="1:34" ht="12.75">
      <c r="A117" s="249"/>
      <c r="B117" s="250"/>
      <c r="C117" s="232" t="s">
        <v>770</v>
      </c>
      <c r="D117" s="233"/>
      <c r="E117" s="260"/>
      <c r="F117" s="260">
        <v>9</v>
      </c>
      <c r="G117" s="260">
        <v>8</v>
      </c>
      <c r="H117" s="234">
        <v>10</v>
      </c>
      <c r="I117" s="234">
        <v>11</v>
      </c>
      <c r="J117" s="234">
        <v>13</v>
      </c>
      <c r="K117" s="234">
        <v>13</v>
      </c>
      <c r="L117" s="234">
        <v>6</v>
      </c>
      <c r="M117" s="234">
        <v>2</v>
      </c>
      <c r="N117" s="234">
        <v>0</v>
      </c>
      <c r="O117" s="272" t="s">
        <v>687</v>
      </c>
      <c r="P117" s="272" t="s">
        <v>687</v>
      </c>
      <c r="Q117" s="272" t="s">
        <v>687</v>
      </c>
      <c r="R117" s="272" t="s">
        <v>687</v>
      </c>
      <c r="S117" s="272" t="s">
        <v>687</v>
      </c>
      <c r="T117" s="236" t="s">
        <v>687</v>
      </c>
      <c r="U117" s="236" t="s">
        <v>687</v>
      </c>
      <c r="V117" s="236" t="s">
        <v>687</v>
      </c>
      <c r="W117" s="236" t="s">
        <v>687</v>
      </c>
      <c r="X117" s="236" t="s">
        <v>687</v>
      </c>
      <c r="Y117" s="356" t="s">
        <v>687</v>
      </c>
      <c r="Z117" s="356" t="s">
        <v>687</v>
      </c>
      <c r="AA117" s="356" t="s">
        <v>687</v>
      </c>
      <c r="AB117" s="356" t="s">
        <v>687</v>
      </c>
      <c r="AC117" s="356" t="s">
        <v>687</v>
      </c>
      <c r="AD117" s="236" t="s">
        <v>687</v>
      </c>
      <c r="AE117" s="236" t="s">
        <v>687</v>
      </c>
      <c r="AF117" s="235"/>
      <c r="AG117" s="329"/>
      <c r="AH117" s="232"/>
    </row>
    <row r="118" spans="1:34" ht="12.75">
      <c r="A118" s="262"/>
      <c r="B118" s="229"/>
      <c r="C118" s="395" t="s">
        <v>771</v>
      </c>
      <c r="D118" s="230">
        <v>6.975</v>
      </c>
      <c r="E118" s="258">
        <v>7</v>
      </c>
      <c r="F118" s="258">
        <v>7.35</v>
      </c>
      <c r="G118" s="258">
        <v>8.5</v>
      </c>
      <c r="H118" s="238">
        <v>12</v>
      </c>
      <c r="I118" s="238">
        <v>7.4</v>
      </c>
      <c r="J118" s="238">
        <v>17</v>
      </c>
      <c r="K118" s="238">
        <v>17</v>
      </c>
      <c r="L118" s="238">
        <v>18.35</v>
      </c>
      <c r="M118" s="238">
        <v>14</v>
      </c>
      <c r="N118" s="238">
        <v>13</v>
      </c>
      <c r="O118" s="238">
        <v>15</v>
      </c>
      <c r="P118" s="238">
        <v>14.95</v>
      </c>
      <c r="Q118" s="238">
        <v>12</v>
      </c>
      <c r="R118" s="238">
        <v>13.85</v>
      </c>
      <c r="S118" s="215">
        <v>10.25</v>
      </c>
      <c r="T118" s="216">
        <v>11</v>
      </c>
      <c r="U118" s="236" t="s">
        <v>687</v>
      </c>
      <c r="V118" s="236" t="s">
        <v>687</v>
      </c>
      <c r="W118" s="236" t="s">
        <v>687</v>
      </c>
      <c r="X118" s="236" t="s">
        <v>687</v>
      </c>
      <c r="Y118" s="356" t="s">
        <v>687</v>
      </c>
      <c r="Z118" s="356" t="s">
        <v>687</v>
      </c>
      <c r="AA118" s="356" t="s">
        <v>687</v>
      </c>
      <c r="AB118" s="356" t="s">
        <v>687</v>
      </c>
      <c r="AC118" s="356" t="s">
        <v>687</v>
      </c>
      <c r="AD118" s="236" t="s">
        <v>687</v>
      </c>
      <c r="AE118" s="236" t="s">
        <v>687</v>
      </c>
      <c r="AF118" s="215"/>
      <c r="AG118" s="326"/>
      <c r="AH118" s="213"/>
    </row>
    <row r="119" spans="1:34" ht="12.75">
      <c r="A119" s="262"/>
      <c r="B119" s="229"/>
      <c r="C119" s="237" t="s">
        <v>772</v>
      </c>
      <c r="D119" s="230">
        <v>149.85</v>
      </c>
      <c r="E119" s="258">
        <v>167.5</v>
      </c>
      <c r="F119" s="258">
        <v>161.55</v>
      </c>
      <c r="G119" s="258">
        <v>142.6</v>
      </c>
      <c r="H119" s="238">
        <v>148</v>
      </c>
      <c r="I119" s="238">
        <v>139.7</v>
      </c>
      <c r="J119" s="238">
        <v>135.91</v>
      </c>
      <c r="K119" s="238">
        <v>121.9</v>
      </c>
      <c r="L119" s="238">
        <v>114</v>
      </c>
      <c r="M119" s="238">
        <v>109</v>
      </c>
      <c r="N119" s="238">
        <v>103.1</v>
      </c>
      <c r="O119" s="238">
        <v>92.9</v>
      </c>
      <c r="P119" s="238">
        <v>86.1</v>
      </c>
      <c r="Q119" s="238">
        <v>75.9</v>
      </c>
      <c r="R119" s="238">
        <v>62.63</v>
      </c>
      <c r="S119" s="215">
        <v>56.97</v>
      </c>
      <c r="T119" s="216">
        <v>53</v>
      </c>
      <c r="U119" s="216">
        <v>53.2</v>
      </c>
      <c r="V119" s="216">
        <v>43.85</v>
      </c>
      <c r="W119" s="216">
        <v>46.57</v>
      </c>
      <c r="X119" s="216">
        <v>51.63</v>
      </c>
      <c r="Y119" s="216">
        <v>58</v>
      </c>
      <c r="Z119" s="216">
        <v>48.2</v>
      </c>
      <c r="AA119" s="216">
        <v>59.5</v>
      </c>
      <c r="AB119" s="216">
        <v>59.15</v>
      </c>
      <c r="AC119" s="216">
        <v>49.95</v>
      </c>
      <c r="AD119" s="216">
        <v>49.5</v>
      </c>
      <c r="AE119" s="216">
        <v>35.599999999999994</v>
      </c>
      <c r="AF119" s="215"/>
      <c r="AG119" s="333">
        <f>(AE119-AD119)/AD119</f>
        <v>-0.2808080808080809</v>
      </c>
      <c r="AH119" s="213"/>
    </row>
    <row r="120" spans="1:34" ht="12.75">
      <c r="A120" s="262"/>
      <c r="B120" s="229"/>
      <c r="C120" s="237" t="s">
        <v>773</v>
      </c>
      <c r="D120" s="230">
        <v>18</v>
      </c>
      <c r="E120" s="258">
        <v>17</v>
      </c>
      <c r="F120" s="258">
        <v>20</v>
      </c>
      <c r="G120" s="258">
        <v>16</v>
      </c>
      <c r="H120" s="238">
        <v>22</v>
      </c>
      <c r="I120" s="238">
        <v>15</v>
      </c>
      <c r="J120" s="238">
        <v>15</v>
      </c>
      <c r="K120" s="238">
        <v>19</v>
      </c>
      <c r="L120" s="238">
        <v>16</v>
      </c>
      <c r="M120" s="238">
        <v>13</v>
      </c>
      <c r="N120" s="238">
        <v>15.5</v>
      </c>
      <c r="O120" s="238">
        <v>20</v>
      </c>
      <c r="P120" s="238">
        <v>22</v>
      </c>
      <c r="Q120" s="238">
        <v>17.05</v>
      </c>
      <c r="R120" s="238">
        <v>20.85</v>
      </c>
      <c r="S120" s="215">
        <v>18.25</v>
      </c>
      <c r="T120" s="216">
        <v>16.25</v>
      </c>
      <c r="U120" s="216">
        <v>10.25</v>
      </c>
      <c r="V120" s="216">
        <v>19.85</v>
      </c>
      <c r="W120" s="216">
        <v>19.7</v>
      </c>
      <c r="X120" s="216">
        <v>18</v>
      </c>
      <c r="Y120" s="216">
        <v>11</v>
      </c>
      <c r="Z120" s="216">
        <v>10</v>
      </c>
      <c r="AA120" s="216">
        <v>10.75</v>
      </c>
      <c r="AB120" s="216">
        <v>14.55</v>
      </c>
      <c r="AC120" s="216">
        <v>15.7</v>
      </c>
      <c r="AD120" s="216">
        <v>14</v>
      </c>
      <c r="AE120" s="216">
        <v>11</v>
      </c>
      <c r="AF120" s="215"/>
      <c r="AG120" s="333">
        <f>(AE120-AD120)/AD120</f>
        <v>-0.21428571428571427</v>
      </c>
      <c r="AH120" s="365"/>
    </row>
    <row r="121" spans="1:34" ht="12.75">
      <c r="A121" s="262"/>
      <c r="B121" s="229"/>
      <c r="C121" s="237" t="s">
        <v>774</v>
      </c>
      <c r="D121" s="230">
        <v>30.35</v>
      </c>
      <c r="E121" s="258">
        <v>44.1</v>
      </c>
      <c r="F121" s="258">
        <v>43</v>
      </c>
      <c r="G121" s="258">
        <v>42.75</v>
      </c>
      <c r="H121" s="238">
        <v>43.05</v>
      </c>
      <c r="I121" s="238">
        <v>43</v>
      </c>
      <c r="J121" s="238">
        <v>44</v>
      </c>
      <c r="K121" s="238">
        <v>45.85</v>
      </c>
      <c r="L121" s="238">
        <v>39</v>
      </c>
      <c r="M121" s="238">
        <v>46.4</v>
      </c>
      <c r="N121" s="238">
        <v>36</v>
      </c>
      <c r="O121" s="238">
        <v>35</v>
      </c>
      <c r="P121" s="238">
        <v>33.85</v>
      </c>
      <c r="Q121" s="238">
        <v>36</v>
      </c>
      <c r="R121" s="238">
        <v>34.45</v>
      </c>
      <c r="S121" s="215">
        <v>31</v>
      </c>
      <c r="T121" s="216">
        <v>34.25</v>
      </c>
      <c r="U121" s="216">
        <v>19.95</v>
      </c>
      <c r="V121" s="216">
        <v>12</v>
      </c>
      <c r="W121" s="216">
        <v>17</v>
      </c>
      <c r="X121" s="216">
        <v>14.55</v>
      </c>
      <c r="Y121" s="216">
        <v>11.2</v>
      </c>
      <c r="Z121" s="216">
        <v>12.25</v>
      </c>
      <c r="AA121" s="216">
        <v>14.1</v>
      </c>
      <c r="AB121" s="216">
        <v>15</v>
      </c>
      <c r="AC121" s="216">
        <v>16</v>
      </c>
      <c r="AD121" s="216">
        <v>15.8</v>
      </c>
      <c r="AE121" s="216">
        <v>12.7</v>
      </c>
      <c r="AF121" s="215"/>
      <c r="AG121" s="333">
        <f>(AE121-AD121)/AD121</f>
        <v>-0.1962025316455697</v>
      </c>
      <c r="AH121" s="365"/>
    </row>
    <row r="122" spans="1:34" ht="12.75">
      <c r="A122" s="262"/>
      <c r="B122" s="229"/>
      <c r="C122" s="237" t="s">
        <v>775</v>
      </c>
      <c r="D122" s="230">
        <v>8</v>
      </c>
      <c r="E122" s="258">
        <v>6</v>
      </c>
      <c r="F122" s="258">
        <v>14</v>
      </c>
      <c r="G122" s="258">
        <v>12.3</v>
      </c>
      <c r="H122" s="238">
        <v>27.05</v>
      </c>
      <c r="I122" s="238">
        <v>35.7</v>
      </c>
      <c r="J122" s="247">
        <v>33.5</v>
      </c>
      <c r="K122" s="247">
        <v>60.6</v>
      </c>
      <c r="L122" s="247">
        <v>14</v>
      </c>
      <c r="M122" s="248">
        <v>16</v>
      </c>
      <c r="N122" s="248">
        <v>15</v>
      </c>
      <c r="O122" s="248">
        <v>28</v>
      </c>
      <c r="P122" s="248">
        <v>21</v>
      </c>
      <c r="Q122" s="248">
        <v>16</v>
      </c>
      <c r="R122" s="248">
        <v>14</v>
      </c>
      <c r="S122" s="215">
        <v>14</v>
      </c>
      <c r="T122" s="216">
        <v>13</v>
      </c>
      <c r="U122" s="216">
        <v>14</v>
      </c>
      <c r="V122" s="216">
        <v>12</v>
      </c>
      <c r="W122" s="216">
        <v>13.25</v>
      </c>
      <c r="X122" s="216">
        <v>13</v>
      </c>
      <c r="Y122" s="216">
        <v>10</v>
      </c>
      <c r="Z122" s="216">
        <v>10</v>
      </c>
      <c r="AA122" s="216">
        <v>10</v>
      </c>
      <c r="AB122" s="216">
        <v>18</v>
      </c>
      <c r="AC122" s="216">
        <v>16</v>
      </c>
      <c r="AD122" s="216">
        <v>15.4</v>
      </c>
      <c r="AE122" s="216">
        <v>21</v>
      </c>
      <c r="AF122" s="215"/>
      <c r="AG122" s="333">
        <f>(AE122-AD122)/AD122</f>
        <v>0.3636363636363636</v>
      </c>
      <c r="AH122" s="365"/>
    </row>
    <row r="123" spans="1:34" ht="12.75">
      <c r="A123" s="259"/>
      <c r="B123" s="250"/>
      <c r="C123" s="232" t="s">
        <v>776</v>
      </c>
      <c r="D123" s="233">
        <v>3</v>
      </c>
      <c r="E123" s="233">
        <v>3</v>
      </c>
      <c r="F123" s="233">
        <v>5</v>
      </c>
      <c r="G123" s="233">
        <v>8</v>
      </c>
      <c r="H123" s="234">
        <v>4</v>
      </c>
      <c r="I123" s="234">
        <v>3</v>
      </c>
      <c r="J123" s="273" t="s">
        <v>687</v>
      </c>
      <c r="K123" s="273" t="s">
        <v>687</v>
      </c>
      <c r="L123" s="273" t="s">
        <v>687</v>
      </c>
      <c r="M123" s="273" t="s">
        <v>687</v>
      </c>
      <c r="N123" s="273" t="s">
        <v>687</v>
      </c>
      <c r="O123" s="273" t="s">
        <v>687</v>
      </c>
      <c r="P123" s="273" t="s">
        <v>687</v>
      </c>
      <c r="Q123" s="273" t="s">
        <v>687</v>
      </c>
      <c r="R123" s="273" t="s">
        <v>687</v>
      </c>
      <c r="S123" s="273" t="s">
        <v>687</v>
      </c>
      <c r="T123" s="236" t="s">
        <v>687</v>
      </c>
      <c r="U123" s="236" t="s">
        <v>687</v>
      </c>
      <c r="V123" s="236" t="s">
        <v>687</v>
      </c>
      <c r="W123" s="236" t="s">
        <v>687</v>
      </c>
      <c r="X123" s="236" t="s">
        <v>687</v>
      </c>
      <c r="Y123" s="356" t="s">
        <v>687</v>
      </c>
      <c r="Z123" s="356" t="s">
        <v>687</v>
      </c>
      <c r="AA123" s="356" t="s">
        <v>687</v>
      </c>
      <c r="AB123" s="356" t="s">
        <v>687</v>
      </c>
      <c r="AC123" s="356" t="s">
        <v>687</v>
      </c>
      <c r="AD123" s="236" t="s">
        <v>687</v>
      </c>
      <c r="AE123" s="236" t="s">
        <v>687</v>
      </c>
      <c r="AF123" s="235"/>
      <c r="AG123" s="331"/>
      <c r="AH123" s="261"/>
    </row>
    <row r="124" spans="1:34" ht="12.75">
      <c r="A124" s="374"/>
      <c r="B124" s="364"/>
      <c r="C124" s="364"/>
      <c r="D124" s="242"/>
      <c r="E124" s="242"/>
      <c r="F124" s="242"/>
      <c r="G124" s="242"/>
      <c r="H124" s="243"/>
      <c r="I124" s="264"/>
      <c r="J124" s="264"/>
      <c r="K124" s="264"/>
      <c r="L124" s="264"/>
      <c r="M124" s="264"/>
      <c r="N124" s="264"/>
      <c r="O124" s="264"/>
      <c r="P124" s="264"/>
      <c r="Q124" s="264"/>
      <c r="R124" s="264"/>
      <c r="S124" s="274"/>
      <c r="T124" s="274"/>
      <c r="U124" s="274"/>
      <c r="V124" s="274"/>
      <c r="W124" s="274"/>
      <c r="X124" s="274"/>
      <c r="Y124" s="274"/>
      <c r="Z124" s="274"/>
      <c r="AA124" s="274"/>
      <c r="AB124" s="274"/>
      <c r="AC124" s="274"/>
      <c r="AD124" s="274"/>
      <c r="AE124" s="274"/>
      <c r="AF124" s="275">
        <f>SUM(AE114:AE122)</f>
        <v>172.14999999999998</v>
      </c>
      <c r="AG124" s="366"/>
      <c r="AH124" s="363"/>
    </row>
    <row r="125" spans="1:34" ht="12.75">
      <c r="A125" s="244" t="s">
        <v>697</v>
      </c>
      <c r="B125" s="229" t="s">
        <v>479</v>
      </c>
      <c r="C125" s="229" t="s">
        <v>479</v>
      </c>
      <c r="D125" s="230">
        <v>5124.3</v>
      </c>
      <c r="E125" s="230">
        <v>5247.3</v>
      </c>
      <c r="F125" s="230">
        <v>5412.7</v>
      </c>
      <c r="G125" s="230">
        <v>5394.45</v>
      </c>
      <c r="H125" s="255">
        <v>5399.75</v>
      </c>
      <c r="I125" s="255">
        <v>5515.35</v>
      </c>
      <c r="J125" s="255">
        <v>5586.45</v>
      </c>
      <c r="K125" s="255">
        <f>3051.24+2611.45</f>
        <v>5662.69</v>
      </c>
      <c r="L125" s="276">
        <v>5632.4</v>
      </c>
      <c r="M125" s="277">
        <f>5630.94-60-38.15</f>
        <v>5532.79</v>
      </c>
      <c r="N125" s="277">
        <v>5395.93</v>
      </c>
      <c r="O125" s="277">
        <v>5366.05</v>
      </c>
      <c r="P125" s="277">
        <v>5380.68</v>
      </c>
      <c r="Q125" s="277">
        <v>5272.82</v>
      </c>
      <c r="R125" s="277">
        <v>5253.05</v>
      </c>
      <c r="S125" s="278">
        <v>5063.2</v>
      </c>
      <c r="T125" s="291">
        <v>5072.45</v>
      </c>
      <c r="U125" s="291">
        <v>4892.48</v>
      </c>
      <c r="V125" s="291">
        <v>4802.29</v>
      </c>
      <c r="W125" s="291">
        <v>4835.92</v>
      </c>
      <c r="X125" s="291">
        <v>4797.73</v>
      </c>
      <c r="Y125" s="291">
        <v>4759.15</v>
      </c>
      <c r="Z125" s="291">
        <v>4766.73</v>
      </c>
      <c r="AA125" s="291">
        <v>4649.12</v>
      </c>
      <c r="AB125" s="291">
        <v>4625.25</v>
      </c>
      <c r="AC125" s="291">
        <v>4591.76</v>
      </c>
      <c r="AD125" s="291">
        <v>4641.69</v>
      </c>
      <c r="AE125" s="291">
        <v>4522.71</v>
      </c>
      <c r="AF125" s="278"/>
      <c r="AG125" s="333">
        <f>(AE125-AD125)/AD125</f>
        <v>-0.025632905256490538</v>
      </c>
      <c r="AH125" s="365"/>
    </row>
    <row r="126" spans="1:34" ht="12.75">
      <c r="A126" s="374"/>
      <c r="B126" s="364"/>
      <c r="C126" s="364"/>
      <c r="D126" s="242"/>
      <c r="E126" s="242"/>
      <c r="F126" s="242"/>
      <c r="G126" s="242"/>
      <c r="H126" s="242"/>
      <c r="I126" s="256"/>
      <c r="J126" s="256"/>
      <c r="K126" s="256"/>
      <c r="L126" s="256"/>
      <c r="M126" s="256"/>
      <c r="N126" s="256"/>
      <c r="O126" s="256"/>
      <c r="P126" s="256"/>
      <c r="Q126" s="256"/>
      <c r="R126" s="256"/>
      <c r="S126" s="274"/>
      <c r="T126" s="274"/>
      <c r="U126" s="274"/>
      <c r="V126" s="274"/>
      <c r="W126" s="274"/>
      <c r="X126" s="274"/>
      <c r="Y126" s="274"/>
      <c r="Z126" s="274"/>
      <c r="AA126" s="274"/>
      <c r="AB126" s="274"/>
      <c r="AC126" s="274"/>
      <c r="AD126" s="274"/>
      <c r="AE126" s="274"/>
      <c r="AF126" s="246">
        <f>SUM(AE125:AE125)</f>
        <v>4522.71</v>
      </c>
      <c r="AG126" s="366"/>
      <c r="AH126" s="363"/>
    </row>
    <row r="127" spans="1:34" ht="12.75">
      <c r="A127" s="244" t="s">
        <v>697</v>
      </c>
      <c r="B127" s="229" t="s">
        <v>481</v>
      </c>
      <c r="C127" s="237" t="s">
        <v>481</v>
      </c>
      <c r="D127" s="230">
        <v>178.7</v>
      </c>
      <c r="E127" s="230">
        <v>185.05</v>
      </c>
      <c r="F127" s="230">
        <v>177</v>
      </c>
      <c r="G127" s="230">
        <v>175.25</v>
      </c>
      <c r="H127" s="238">
        <v>185</v>
      </c>
      <c r="I127" s="238">
        <v>191</v>
      </c>
      <c r="J127" s="238">
        <v>199.9</v>
      </c>
      <c r="K127" s="238">
        <v>194.4</v>
      </c>
      <c r="L127" s="238">
        <v>185.8</v>
      </c>
      <c r="M127" s="238">
        <v>166.7</v>
      </c>
      <c r="N127" s="238">
        <v>165</v>
      </c>
      <c r="O127" s="238">
        <v>171.62</v>
      </c>
      <c r="P127" s="238">
        <v>151.85</v>
      </c>
      <c r="Q127" s="238">
        <v>155.15</v>
      </c>
      <c r="R127" s="238">
        <v>141.75</v>
      </c>
      <c r="S127" s="215">
        <v>116</v>
      </c>
      <c r="T127" s="216">
        <v>103.55</v>
      </c>
      <c r="U127" s="216">
        <v>101.45</v>
      </c>
      <c r="V127" s="216">
        <v>93.35</v>
      </c>
      <c r="W127" s="216">
        <v>88.5</v>
      </c>
      <c r="X127" s="216">
        <v>85.4</v>
      </c>
      <c r="Y127" s="216">
        <v>92.6</v>
      </c>
      <c r="Z127" s="216">
        <v>105.33</v>
      </c>
      <c r="AA127" s="216">
        <v>104</v>
      </c>
      <c r="AB127" s="216">
        <v>109.7</v>
      </c>
      <c r="AC127" s="216">
        <v>107.65</v>
      </c>
      <c r="AD127" s="216">
        <v>96</v>
      </c>
      <c r="AE127" s="216">
        <v>102.6</v>
      </c>
      <c r="AF127" s="215"/>
      <c r="AG127" s="333">
        <f>(AE127-AD127)/AD127</f>
        <v>0.06874999999999994</v>
      </c>
      <c r="AH127" s="365"/>
    </row>
    <row r="128" spans="1:34" ht="12.75">
      <c r="A128" s="374"/>
      <c r="B128" s="245"/>
      <c r="C128" s="241"/>
      <c r="D128" s="242"/>
      <c r="E128" s="242"/>
      <c r="F128" s="242"/>
      <c r="G128" s="242"/>
      <c r="H128" s="243"/>
      <c r="I128" s="243"/>
      <c r="J128" s="243"/>
      <c r="K128" s="243"/>
      <c r="L128" s="243"/>
      <c r="M128" s="243"/>
      <c r="N128" s="243"/>
      <c r="O128" s="243"/>
      <c r="P128" s="243"/>
      <c r="Q128" s="243"/>
      <c r="R128" s="243"/>
      <c r="S128" s="246"/>
      <c r="T128" s="246"/>
      <c r="U128" s="246"/>
      <c r="V128" s="246"/>
      <c r="W128" s="246"/>
      <c r="X128" s="246"/>
      <c r="Y128" s="246"/>
      <c r="Z128" s="246"/>
      <c r="AA128" s="246"/>
      <c r="AB128" s="246"/>
      <c r="AC128" s="246"/>
      <c r="AD128" s="246"/>
      <c r="AE128" s="246"/>
      <c r="AF128" s="246">
        <f>SUM(AE127:AE127)</f>
        <v>102.6</v>
      </c>
      <c r="AG128" s="366"/>
      <c r="AH128" s="363"/>
    </row>
    <row r="129" spans="1:34" ht="12.75">
      <c r="A129" s="244" t="s">
        <v>685</v>
      </c>
      <c r="B129" s="229" t="s">
        <v>483</v>
      </c>
      <c r="C129" s="237" t="s">
        <v>777</v>
      </c>
      <c r="D129" s="230">
        <v>181.7</v>
      </c>
      <c r="E129" s="230">
        <v>191.15</v>
      </c>
      <c r="F129" s="230">
        <v>191.65</v>
      </c>
      <c r="G129" s="230">
        <v>207.6</v>
      </c>
      <c r="H129" s="238">
        <v>229.9</v>
      </c>
      <c r="I129" s="238">
        <v>244</v>
      </c>
      <c r="J129" s="238">
        <v>246.95</v>
      </c>
      <c r="K129" s="238">
        <v>269.85</v>
      </c>
      <c r="L129" s="238">
        <v>279</v>
      </c>
      <c r="M129" s="238">
        <v>298.2</v>
      </c>
      <c r="N129" s="238">
        <v>314</v>
      </c>
      <c r="O129" s="238">
        <v>321.8</v>
      </c>
      <c r="P129" s="238">
        <v>350.4</v>
      </c>
      <c r="Q129" s="238">
        <v>362.25</v>
      </c>
      <c r="R129" s="238">
        <v>354.65</v>
      </c>
      <c r="S129" s="215">
        <v>330.55</v>
      </c>
      <c r="T129" s="216">
        <v>339.2</v>
      </c>
      <c r="U129" s="216">
        <v>325.55</v>
      </c>
      <c r="V129" s="216">
        <v>312.5</v>
      </c>
      <c r="W129" s="216">
        <v>301.75</v>
      </c>
      <c r="X129" s="216">
        <v>305.95</v>
      </c>
      <c r="Y129" s="216">
        <v>311.65</v>
      </c>
      <c r="Z129" s="216">
        <v>302.33</v>
      </c>
      <c r="AA129" s="216">
        <v>316.7</v>
      </c>
      <c r="AB129" s="216">
        <v>317.15</v>
      </c>
      <c r="AC129" s="216">
        <v>331.6</v>
      </c>
      <c r="AD129" s="216">
        <v>342.35</v>
      </c>
      <c r="AE129" s="216">
        <v>320.6</v>
      </c>
      <c r="AF129" s="215"/>
      <c r="AG129" s="333">
        <f>(AE129-AD129)/AD129</f>
        <v>-0.06353147363808967</v>
      </c>
      <c r="AH129" s="365"/>
    </row>
    <row r="130" spans="1:34" ht="12.75">
      <c r="A130" s="374"/>
      <c r="B130" s="245"/>
      <c r="C130" s="241"/>
      <c r="D130" s="242"/>
      <c r="E130" s="242"/>
      <c r="F130" s="242"/>
      <c r="G130" s="242"/>
      <c r="H130" s="243"/>
      <c r="I130" s="243"/>
      <c r="J130" s="243"/>
      <c r="K130" s="243"/>
      <c r="L130" s="243"/>
      <c r="M130" s="243"/>
      <c r="N130" s="243"/>
      <c r="O130" s="243"/>
      <c r="P130" s="243"/>
      <c r="Q130" s="243"/>
      <c r="R130" s="243"/>
      <c r="S130" s="246"/>
      <c r="T130" s="246"/>
      <c r="U130" s="246"/>
      <c r="V130" s="246"/>
      <c r="W130" s="246"/>
      <c r="X130" s="246"/>
      <c r="Y130" s="246"/>
      <c r="Z130" s="246"/>
      <c r="AA130" s="246"/>
      <c r="AB130" s="246"/>
      <c r="AC130" s="246"/>
      <c r="AD130" s="246"/>
      <c r="AE130" s="246"/>
      <c r="AF130" s="246">
        <f>SUM(AE129:AE129)</f>
        <v>320.6</v>
      </c>
      <c r="AG130" s="366"/>
      <c r="AH130" s="363"/>
    </row>
    <row r="131" spans="1:34" ht="12.75">
      <c r="A131" s="244" t="s">
        <v>697</v>
      </c>
      <c r="B131" s="229" t="s">
        <v>486</v>
      </c>
      <c r="C131" s="237" t="s">
        <v>778</v>
      </c>
      <c r="D131" s="230">
        <v>211.12</v>
      </c>
      <c r="E131" s="230">
        <v>211.25</v>
      </c>
      <c r="F131" s="230">
        <v>213.3</v>
      </c>
      <c r="G131" s="230">
        <v>230.6</v>
      </c>
      <c r="H131" s="238">
        <v>249.35</v>
      </c>
      <c r="I131" s="238">
        <v>262</v>
      </c>
      <c r="J131" s="238">
        <v>242.75</v>
      </c>
      <c r="K131" s="238">
        <v>248.9</v>
      </c>
      <c r="L131" s="238">
        <v>236.85</v>
      </c>
      <c r="M131" s="238" t="s">
        <v>779</v>
      </c>
      <c r="N131" s="238" t="s">
        <v>779</v>
      </c>
      <c r="O131" s="238" t="s">
        <v>779</v>
      </c>
      <c r="P131" s="238" t="s">
        <v>779</v>
      </c>
      <c r="Q131" s="238" t="s">
        <v>779</v>
      </c>
      <c r="R131" s="238" t="s">
        <v>779</v>
      </c>
      <c r="S131" s="238" t="s">
        <v>779</v>
      </c>
      <c r="T131" s="266" t="s">
        <v>779</v>
      </c>
      <c r="U131" s="266" t="s">
        <v>779</v>
      </c>
      <c r="V131" s="266" t="s">
        <v>779</v>
      </c>
      <c r="W131" s="266" t="s">
        <v>779</v>
      </c>
      <c r="X131" s="266" t="s">
        <v>779</v>
      </c>
      <c r="Y131" s="266" t="s">
        <v>779</v>
      </c>
      <c r="Z131" s="266" t="s">
        <v>779</v>
      </c>
      <c r="AA131" s="266" t="s">
        <v>779</v>
      </c>
      <c r="AB131" s="266" t="s">
        <v>779</v>
      </c>
      <c r="AC131" s="266" t="s">
        <v>779</v>
      </c>
      <c r="AD131" s="266" t="s">
        <v>779</v>
      </c>
      <c r="AE131" s="266" t="s">
        <v>779</v>
      </c>
      <c r="AF131" s="215"/>
      <c r="AG131" s="367"/>
      <c r="AH131" s="365"/>
    </row>
    <row r="132" spans="1:34" ht="12.75">
      <c r="A132" s="249"/>
      <c r="B132" s="250"/>
      <c r="C132" s="232" t="s">
        <v>780</v>
      </c>
      <c r="D132" s="233">
        <v>3</v>
      </c>
      <c r="E132" s="233"/>
      <c r="F132" s="233"/>
      <c r="G132" s="233">
        <v>8</v>
      </c>
      <c r="H132" s="234">
        <v>6</v>
      </c>
      <c r="I132" s="234"/>
      <c r="J132" s="234"/>
      <c r="K132" s="234">
        <v>36</v>
      </c>
      <c r="L132" s="234" t="s">
        <v>687</v>
      </c>
      <c r="M132" s="234" t="s">
        <v>687</v>
      </c>
      <c r="N132" s="234" t="s">
        <v>687</v>
      </c>
      <c r="O132" s="234" t="s">
        <v>687</v>
      </c>
      <c r="P132" s="234" t="s">
        <v>687</v>
      </c>
      <c r="Q132" s="234" t="s">
        <v>687</v>
      </c>
      <c r="R132" s="234" t="s">
        <v>687</v>
      </c>
      <c r="S132" s="234" t="s">
        <v>687</v>
      </c>
      <c r="T132" s="252" t="s">
        <v>687</v>
      </c>
      <c r="U132" s="252" t="s">
        <v>687</v>
      </c>
      <c r="V132" s="252" t="s">
        <v>687</v>
      </c>
      <c r="W132" s="252" t="s">
        <v>687</v>
      </c>
      <c r="X132" s="252" t="s">
        <v>687</v>
      </c>
      <c r="Y132" s="356" t="s">
        <v>687</v>
      </c>
      <c r="Z132" s="356" t="s">
        <v>687</v>
      </c>
      <c r="AA132" s="356" t="s">
        <v>687</v>
      </c>
      <c r="AB132" s="356" t="s">
        <v>687</v>
      </c>
      <c r="AC132" s="356" t="s">
        <v>687</v>
      </c>
      <c r="AD132" s="236" t="s">
        <v>687</v>
      </c>
      <c r="AE132" s="236" t="s">
        <v>687</v>
      </c>
      <c r="AF132" s="235"/>
      <c r="AG132" s="331"/>
      <c r="AH132" s="261"/>
    </row>
    <row r="133" spans="1:34" ht="12.75">
      <c r="A133" s="373"/>
      <c r="B133" s="229"/>
      <c r="C133" s="237" t="s">
        <v>781</v>
      </c>
      <c r="D133" s="230">
        <v>30</v>
      </c>
      <c r="E133" s="230">
        <v>41</v>
      </c>
      <c r="F133" s="230">
        <v>45.85</v>
      </c>
      <c r="G133" s="230">
        <v>48.35</v>
      </c>
      <c r="H133" s="238">
        <v>41.35</v>
      </c>
      <c r="I133" s="238">
        <v>39.5</v>
      </c>
      <c r="J133" s="238">
        <v>37</v>
      </c>
      <c r="K133" s="238">
        <v>37</v>
      </c>
      <c r="L133" s="238">
        <v>35</v>
      </c>
      <c r="M133" s="238">
        <v>36.35</v>
      </c>
      <c r="N133" s="238">
        <v>34.5</v>
      </c>
      <c r="O133" s="238">
        <v>32.1</v>
      </c>
      <c r="P133" s="238">
        <v>21.1</v>
      </c>
      <c r="Q133" s="238">
        <v>13</v>
      </c>
      <c r="R133" s="279">
        <v>12</v>
      </c>
      <c r="S133" s="215">
        <v>11</v>
      </c>
      <c r="T133" s="216">
        <v>10.75</v>
      </c>
      <c r="U133" s="216">
        <v>11.25</v>
      </c>
      <c r="V133" s="216">
        <v>11</v>
      </c>
      <c r="W133" s="216">
        <v>6.25</v>
      </c>
      <c r="X133" s="216">
        <v>10</v>
      </c>
      <c r="Y133" s="216">
        <v>10</v>
      </c>
      <c r="Z133" s="216">
        <v>11.55</v>
      </c>
      <c r="AA133" s="216">
        <v>17</v>
      </c>
      <c r="AB133" s="216">
        <v>18.7</v>
      </c>
      <c r="AC133" s="216">
        <v>14.65</v>
      </c>
      <c r="AD133" s="216">
        <v>18</v>
      </c>
      <c r="AE133" s="216">
        <v>15</v>
      </c>
      <c r="AF133" s="215"/>
      <c r="AG133" s="333">
        <f>(AE133-AD133)/AD133</f>
        <v>-0.16666666666666666</v>
      </c>
      <c r="AH133" s="365"/>
    </row>
    <row r="134" spans="1:34" ht="12.75">
      <c r="A134" s="373"/>
      <c r="B134" s="229"/>
      <c r="C134" s="237" t="s">
        <v>782</v>
      </c>
      <c r="D134" s="230">
        <v>60</v>
      </c>
      <c r="E134" s="230">
        <v>55.95</v>
      </c>
      <c r="F134" s="230">
        <v>50</v>
      </c>
      <c r="G134" s="230" t="s">
        <v>495</v>
      </c>
      <c r="H134" s="230" t="s">
        <v>495</v>
      </c>
      <c r="I134" s="230" t="s">
        <v>495</v>
      </c>
      <c r="J134" s="230" t="s">
        <v>495</v>
      </c>
      <c r="K134" s="230" t="s">
        <v>495</v>
      </c>
      <c r="L134" s="230" t="s">
        <v>495</v>
      </c>
      <c r="M134" s="230" t="s">
        <v>495</v>
      </c>
      <c r="N134" s="230" t="s">
        <v>495</v>
      </c>
      <c r="O134" s="230" t="s">
        <v>495</v>
      </c>
      <c r="P134" s="230" t="s">
        <v>495</v>
      </c>
      <c r="Q134" s="230" t="s">
        <v>495</v>
      </c>
      <c r="R134" s="230" t="s">
        <v>495</v>
      </c>
      <c r="S134" s="230" t="s">
        <v>495</v>
      </c>
      <c r="T134" s="289" t="s">
        <v>495</v>
      </c>
      <c r="U134" s="289" t="s">
        <v>495</v>
      </c>
      <c r="V134" s="289" t="s">
        <v>495</v>
      </c>
      <c r="W134" s="289" t="s">
        <v>495</v>
      </c>
      <c r="X134" s="289" t="s">
        <v>495</v>
      </c>
      <c r="Y134" s="289" t="s">
        <v>495</v>
      </c>
      <c r="Z134" s="289" t="s">
        <v>495</v>
      </c>
      <c r="AA134" s="289" t="s">
        <v>495</v>
      </c>
      <c r="AB134" s="289" t="s">
        <v>495</v>
      </c>
      <c r="AC134" s="289" t="s">
        <v>495</v>
      </c>
      <c r="AD134" s="289" t="s">
        <v>495</v>
      </c>
      <c r="AE134" s="289" t="s">
        <v>495</v>
      </c>
      <c r="AF134" s="215"/>
      <c r="AG134" s="367"/>
      <c r="AH134" s="365"/>
    </row>
    <row r="135" spans="1:34" ht="12.75">
      <c r="A135" s="373"/>
      <c r="B135" s="229"/>
      <c r="C135" s="213" t="s">
        <v>783</v>
      </c>
      <c r="D135" s="230">
        <f>1214.9+D131+D140+D147</f>
        <v>1651.67</v>
      </c>
      <c r="E135" s="230">
        <f>1237.95+E131+E140+E147</f>
        <v>1680.2</v>
      </c>
      <c r="F135" s="230">
        <f>1238.75+F131+F140+F147</f>
        <v>1679.7</v>
      </c>
      <c r="G135" s="230">
        <f>1280.6+G131+G140+G147</f>
        <v>1731.55</v>
      </c>
      <c r="H135" s="238">
        <f>1314.2+H131+H140+H147</f>
        <v>1807.35</v>
      </c>
      <c r="I135" s="238">
        <f>1339.6+I131+I140+I147</f>
        <v>1835.25</v>
      </c>
      <c r="J135" s="238">
        <f>1387.29+J131+J140+J147</f>
        <v>1840.19</v>
      </c>
      <c r="K135" s="238">
        <f>599.8+834+K131+K140+K147</f>
        <v>1872.45</v>
      </c>
      <c r="L135" s="238">
        <f>310.2+221.55+536.75+213.25+L131+L140+L147</f>
        <v>1712.35</v>
      </c>
      <c r="M135" s="238">
        <f>1778.86-M137</f>
        <v>1709.11</v>
      </c>
      <c r="N135" s="238">
        <v>1637.88</v>
      </c>
      <c r="O135" s="238">
        <v>1545</v>
      </c>
      <c r="P135" s="238">
        <v>1557.07</v>
      </c>
      <c r="Q135" s="238">
        <v>1528.95</v>
      </c>
      <c r="R135" s="279">
        <v>1564.13</v>
      </c>
      <c r="S135" s="215">
        <v>1523.78</v>
      </c>
      <c r="T135" s="216">
        <f>120.9+213.8+496.23+122.25+196.43+36.25+223.85+36.7+66</f>
        <v>1512.41</v>
      </c>
      <c r="U135" s="216">
        <v>1468.71</v>
      </c>
      <c r="V135" s="216">
        <v>1473.57</v>
      </c>
      <c r="W135" s="216">
        <v>1440.87</v>
      </c>
      <c r="X135" s="216">
        <v>1439.43</v>
      </c>
      <c r="Y135" s="216">
        <v>1442.13</v>
      </c>
      <c r="Z135" s="216">
        <v>1444.62</v>
      </c>
      <c r="AA135" s="216">
        <v>1436.01</v>
      </c>
      <c r="AB135" s="216">
        <v>1442.26</v>
      </c>
      <c r="AC135" s="216">
        <v>1413.12</v>
      </c>
      <c r="AD135" s="216">
        <v>1495.31</v>
      </c>
      <c r="AE135" s="216">
        <v>1525.7799999999997</v>
      </c>
      <c r="AF135" s="215"/>
      <c r="AG135" s="333">
        <f>(AE135-AD135)/AD135</f>
        <v>0.020377045562458486</v>
      </c>
      <c r="AH135" s="365"/>
    </row>
    <row r="136" spans="1:34" ht="12.75">
      <c r="A136" s="373"/>
      <c r="B136" s="229"/>
      <c r="C136" s="213" t="s">
        <v>784</v>
      </c>
      <c r="D136" s="230">
        <v>23.45</v>
      </c>
      <c r="E136" s="230">
        <v>30</v>
      </c>
      <c r="F136" s="230">
        <v>29</v>
      </c>
      <c r="G136" s="230">
        <v>31.5</v>
      </c>
      <c r="H136" s="238">
        <v>44.65</v>
      </c>
      <c r="I136" s="238">
        <v>32.8</v>
      </c>
      <c r="J136" s="238">
        <v>32</v>
      </c>
      <c r="K136" s="238">
        <v>20.4</v>
      </c>
      <c r="L136" s="238">
        <v>25.8</v>
      </c>
      <c r="M136" s="238">
        <v>17.75</v>
      </c>
      <c r="N136" s="238">
        <v>15</v>
      </c>
      <c r="O136" s="238">
        <v>11.95</v>
      </c>
      <c r="P136" s="238">
        <v>14</v>
      </c>
      <c r="Q136" s="238">
        <v>18.55</v>
      </c>
      <c r="R136" s="279">
        <v>14</v>
      </c>
      <c r="S136" s="215">
        <v>11.2</v>
      </c>
      <c r="T136" s="216">
        <v>15.15</v>
      </c>
      <c r="U136" s="216">
        <v>9</v>
      </c>
      <c r="V136" s="216">
        <v>10.15</v>
      </c>
      <c r="W136" s="216">
        <v>15.5</v>
      </c>
      <c r="X136" s="216">
        <v>13</v>
      </c>
      <c r="Y136" s="216">
        <v>12</v>
      </c>
      <c r="Z136" s="216">
        <v>16.8</v>
      </c>
      <c r="AA136" s="216">
        <v>17.25</v>
      </c>
      <c r="AB136" s="216">
        <v>22</v>
      </c>
      <c r="AC136" s="216">
        <v>16</v>
      </c>
      <c r="AD136" s="216">
        <v>17</v>
      </c>
      <c r="AE136" s="216">
        <v>17</v>
      </c>
      <c r="AF136" s="215"/>
      <c r="AG136" s="333">
        <f>(AE136-AD136)/AD136</f>
        <v>0</v>
      </c>
      <c r="AH136" s="365"/>
    </row>
    <row r="137" spans="1:34" ht="12.75">
      <c r="A137" s="373"/>
      <c r="B137" s="229"/>
      <c r="C137" s="213" t="s">
        <v>1172</v>
      </c>
      <c r="D137" s="230"/>
      <c r="E137" s="230">
        <v>59</v>
      </c>
      <c r="F137" s="230">
        <v>56.2</v>
      </c>
      <c r="G137" s="230">
        <v>63.3</v>
      </c>
      <c r="H137" s="238">
        <v>55.7</v>
      </c>
      <c r="I137" s="238">
        <v>54</v>
      </c>
      <c r="J137" s="238">
        <v>58.35</v>
      </c>
      <c r="K137" s="238">
        <v>66.5</v>
      </c>
      <c r="L137" s="238">
        <v>65</v>
      </c>
      <c r="M137" s="238">
        <v>69.75</v>
      </c>
      <c r="N137" s="238">
        <v>67</v>
      </c>
      <c r="O137" s="238">
        <v>64</v>
      </c>
      <c r="P137" s="238">
        <v>79</v>
      </c>
      <c r="Q137" s="238">
        <v>73.15</v>
      </c>
      <c r="R137" s="279">
        <v>81.65</v>
      </c>
      <c r="S137" s="215">
        <v>88</v>
      </c>
      <c r="T137" s="216">
        <v>81.75</v>
      </c>
      <c r="U137" s="216">
        <v>86</v>
      </c>
      <c r="V137" s="216">
        <v>83</v>
      </c>
      <c r="W137" s="216">
        <v>82.7</v>
      </c>
      <c r="X137" s="216">
        <v>84.4</v>
      </c>
      <c r="Y137" s="216">
        <v>75</v>
      </c>
      <c r="Z137" s="216">
        <v>64</v>
      </c>
      <c r="AA137" s="216">
        <v>63</v>
      </c>
      <c r="AB137" s="216">
        <v>57.75</v>
      </c>
      <c r="AC137" s="216">
        <v>49</v>
      </c>
      <c r="AD137" s="216">
        <v>48</v>
      </c>
      <c r="AE137" s="216">
        <v>46.31</v>
      </c>
      <c r="AF137" s="215"/>
      <c r="AG137" s="333">
        <f>(AE137-AD137)/AD137</f>
        <v>-0.035208333333333286</v>
      </c>
      <c r="AH137" s="365"/>
    </row>
    <row r="138" spans="1:34" ht="12.75">
      <c r="A138" s="373"/>
      <c r="B138" s="229"/>
      <c r="C138" s="213" t="s">
        <v>785</v>
      </c>
      <c r="D138" s="230">
        <v>262.75</v>
      </c>
      <c r="E138" s="230">
        <v>280</v>
      </c>
      <c r="F138" s="230">
        <v>264.6</v>
      </c>
      <c r="G138" s="230">
        <v>273.75</v>
      </c>
      <c r="H138" s="238">
        <v>272.5</v>
      </c>
      <c r="I138" s="238">
        <v>281.95</v>
      </c>
      <c r="J138" s="238">
        <v>272.76</v>
      </c>
      <c r="K138" s="238">
        <v>295.7</v>
      </c>
      <c r="L138" s="238">
        <v>278.65</v>
      </c>
      <c r="M138" s="238" t="s">
        <v>786</v>
      </c>
      <c r="N138" s="238" t="s">
        <v>786</v>
      </c>
      <c r="O138" s="238" t="s">
        <v>786</v>
      </c>
      <c r="P138" s="238" t="s">
        <v>786</v>
      </c>
      <c r="Q138" s="238" t="s">
        <v>786</v>
      </c>
      <c r="R138" s="238" t="s">
        <v>786</v>
      </c>
      <c r="S138" s="238" t="s">
        <v>786</v>
      </c>
      <c r="T138" s="266" t="s">
        <v>786</v>
      </c>
      <c r="U138" s="266" t="s">
        <v>786</v>
      </c>
      <c r="V138" s="266" t="s">
        <v>786</v>
      </c>
      <c r="W138" s="266" t="s">
        <v>786</v>
      </c>
      <c r="X138" s="266" t="s">
        <v>786</v>
      </c>
      <c r="Y138" s="266" t="s">
        <v>786</v>
      </c>
      <c r="Z138" s="266" t="s">
        <v>786</v>
      </c>
      <c r="AA138" s="266" t="s">
        <v>786</v>
      </c>
      <c r="AB138" s="266" t="s">
        <v>786</v>
      </c>
      <c r="AC138" s="266" t="s">
        <v>786</v>
      </c>
      <c r="AD138" s="266" t="s">
        <v>786</v>
      </c>
      <c r="AE138" s="266" t="s">
        <v>786</v>
      </c>
      <c r="AF138" s="215"/>
      <c r="AG138" s="367"/>
      <c r="AH138" s="365"/>
    </row>
    <row r="139" spans="1:34" ht="12.75">
      <c r="A139" s="373"/>
      <c r="B139" s="229"/>
      <c r="C139" s="237" t="s">
        <v>787</v>
      </c>
      <c r="D139" s="230">
        <v>1568.33</v>
      </c>
      <c r="E139" s="230">
        <v>1691.35</v>
      </c>
      <c r="F139" s="230">
        <v>1736.65</v>
      </c>
      <c r="G139" s="230">
        <v>1722.55</v>
      </c>
      <c r="H139" s="238">
        <v>1731.1</v>
      </c>
      <c r="I139" s="238">
        <v>1767.25</v>
      </c>
      <c r="J139" s="238">
        <v>1788</v>
      </c>
      <c r="K139" s="238">
        <f>925.65+831.5</f>
        <v>1757.15</v>
      </c>
      <c r="L139" s="238">
        <f>376.85+413.23+159.45+283.19+512.95+30.05</f>
        <v>1775.72</v>
      </c>
      <c r="M139" s="238">
        <v>1747.53</v>
      </c>
      <c r="N139" s="238">
        <v>1754.95</v>
      </c>
      <c r="O139" s="238">
        <v>1718.81</v>
      </c>
      <c r="P139" s="238">
        <v>1652.71</v>
      </c>
      <c r="Q139" s="238">
        <v>1606.63</v>
      </c>
      <c r="R139" s="279">
        <v>1785.71</v>
      </c>
      <c r="S139" s="215">
        <v>1655.61</v>
      </c>
      <c r="T139" s="216">
        <f>526.35+387.7+233.4+210.5+86.55+178</f>
        <v>1622.5</v>
      </c>
      <c r="U139" s="216">
        <v>1797.72</v>
      </c>
      <c r="V139" s="216">
        <v>1839.38</v>
      </c>
      <c r="W139" s="216">
        <v>1838.86</v>
      </c>
      <c r="X139" s="216">
        <v>1848.41</v>
      </c>
      <c r="Y139" s="216">
        <v>1845.21</v>
      </c>
      <c r="Z139" s="216">
        <v>1869.86</v>
      </c>
      <c r="AA139" s="216">
        <v>1831.15</v>
      </c>
      <c r="AB139" s="216">
        <v>1810.34</v>
      </c>
      <c r="AC139" s="216">
        <v>1825.09</v>
      </c>
      <c r="AD139" s="216">
        <v>1770.21</v>
      </c>
      <c r="AE139" s="216">
        <v>1795.92</v>
      </c>
      <c r="AF139" s="215"/>
      <c r="AG139" s="333">
        <f>(AE139-AD139)/AD139</f>
        <v>0.014523700577897558</v>
      </c>
      <c r="AH139" s="365"/>
    </row>
    <row r="140" spans="1:34" ht="12.75">
      <c r="A140" s="373"/>
      <c r="B140" s="229"/>
      <c r="C140" s="213" t="s">
        <v>788</v>
      </c>
      <c r="D140" s="230">
        <v>195.9</v>
      </c>
      <c r="E140" s="230">
        <v>194</v>
      </c>
      <c r="F140" s="230">
        <v>196.65</v>
      </c>
      <c r="G140" s="230">
        <v>183.9</v>
      </c>
      <c r="H140" s="238">
        <v>203.8</v>
      </c>
      <c r="I140" s="238">
        <v>197.7</v>
      </c>
      <c r="J140" s="238">
        <v>184.4</v>
      </c>
      <c r="K140" s="238">
        <v>153.6</v>
      </c>
      <c r="L140" s="238">
        <v>150.95</v>
      </c>
      <c r="M140" s="238" t="s">
        <v>779</v>
      </c>
      <c r="N140" s="238" t="s">
        <v>779</v>
      </c>
      <c r="O140" s="238" t="s">
        <v>779</v>
      </c>
      <c r="P140" s="238" t="s">
        <v>779</v>
      </c>
      <c r="Q140" s="238" t="s">
        <v>779</v>
      </c>
      <c r="R140" s="238" t="s">
        <v>779</v>
      </c>
      <c r="S140" s="238" t="s">
        <v>779</v>
      </c>
      <c r="T140" s="266" t="s">
        <v>779</v>
      </c>
      <c r="U140" s="266" t="s">
        <v>779</v>
      </c>
      <c r="V140" s="266" t="s">
        <v>779</v>
      </c>
      <c r="W140" s="266" t="s">
        <v>779</v>
      </c>
      <c r="X140" s="266" t="s">
        <v>779</v>
      </c>
      <c r="Y140" s="266" t="s">
        <v>779</v>
      </c>
      <c r="Z140" s="266" t="s">
        <v>779</v>
      </c>
      <c r="AA140" s="266" t="s">
        <v>779</v>
      </c>
      <c r="AB140" s="266" t="s">
        <v>779</v>
      </c>
      <c r="AC140" s="266" t="s">
        <v>779</v>
      </c>
      <c r="AD140" s="266" t="s">
        <v>779</v>
      </c>
      <c r="AE140" s="266" t="s">
        <v>779</v>
      </c>
      <c r="AF140" s="215"/>
      <c r="AG140" s="367"/>
      <c r="AH140" s="365"/>
    </row>
    <row r="141" spans="1:34" ht="12.75">
      <c r="A141" s="373"/>
      <c r="B141" s="229"/>
      <c r="C141" s="213" t="s">
        <v>789</v>
      </c>
      <c r="D141" s="230">
        <v>27</v>
      </c>
      <c r="E141" s="230">
        <v>35.85</v>
      </c>
      <c r="F141" s="230">
        <v>31.15</v>
      </c>
      <c r="G141" s="230">
        <v>34</v>
      </c>
      <c r="H141" s="238">
        <v>35</v>
      </c>
      <c r="I141" s="238">
        <v>39</v>
      </c>
      <c r="J141" s="238">
        <v>37</v>
      </c>
      <c r="K141" s="238">
        <v>37.8</v>
      </c>
      <c r="L141" s="238">
        <v>34.4</v>
      </c>
      <c r="M141" s="238">
        <v>42.35</v>
      </c>
      <c r="N141" s="238">
        <v>40</v>
      </c>
      <c r="O141" s="238">
        <v>46</v>
      </c>
      <c r="P141" s="238">
        <v>42.3</v>
      </c>
      <c r="Q141" s="238">
        <v>35.7</v>
      </c>
      <c r="R141" s="279">
        <v>34.85</v>
      </c>
      <c r="S141" s="215">
        <v>31.8</v>
      </c>
      <c r="T141" s="216">
        <v>28.65</v>
      </c>
      <c r="U141" s="216">
        <v>28.05</v>
      </c>
      <c r="V141" s="216">
        <v>29.4</v>
      </c>
      <c r="W141" s="216">
        <v>15.75</v>
      </c>
      <c r="X141" s="216">
        <v>15.85</v>
      </c>
      <c r="Y141" s="216">
        <v>18</v>
      </c>
      <c r="Z141" s="216">
        <v>17</v>
      </c>
      <c r="AA141" s="216">
        <v>16.1</v>
      </c>
      <c r="AB141" s="216">
        <v>13.75</v>
      </c>
      <c r="AC141" s="216">
        <v>10</v>
      </c>
      <c r="AD141" s="216">
        <v>11</v>
      </c>
      <c r="AE141" s="216">
        <v>13.95</v>
      </c>
      <c r="AF141" s="215"/>
      <c r="AG141" s="333">
        <f aca="true" t="shared" si="4" ref="AG141:AG146">(AE141-AD141)/AD141</f>
        <v>0.26818181818181813</v>
      </c>
      <c r="AH141" s="365"/>
    </row>
    <row r="142" spans="1:34" ht="12.75">
      <c r="A142" s="373"/>
      <c r="B142" s="229"/>
      <c r="C142" s="229" t="s">
        <v>790</v>
      </c>
      <c r="D142" s="230"/>
      <c r="E142" s="230"/>
      <c r="F142" s="230"/>
      <c r="G142" s="230">
        <v>46</v>
      </c>
      <c r="H142" s="238">
        <v>45.4</v>
      </c>
      <c r="I142" s="238">
        <v>53</v>
      </c>
      <c r="J142" s="238">
        <v>59</v>
      </c>
      <c r="K142" s="238">
        <v>56.7</v>
      </c>
      <c r="L142" s="238">
        <v>59</v>
      </c>
      <c r="M142" s="238">
        <v>53.25</v>
      </c>
      <c r="N142" s="238">
        <v>48</v>
      </c>
      <c r="O142" s="238">
        <v>70</v>
      </c>
      <c r="P142" s="238">
        <v>75.7</v>
      </c>
      <c r="Q142" s="238">
        <v>63</v>
      </c>
      <c r="R142" s="279">
        <v>63</v>
      </c>
      <c r="S142" s="215">
        <v>58</v>
      </c>
      <c r="T142" s="216">
        <v>56.75</v>
      </c>
      <c r="U142" s="216">
        <v>62.95</v>
      </c>
      <c r="V142" s="216">
        <v>70</v>
      </c>
      <c r="W142" s="216">
        <v>70.85</v>
      </c>
      <c r="X142" s="216">
        <v>79.75</v>
      </c>
      <c r="Y142" s="216">
        <v>78.25</v>
      </c>
      <c r="Z142" s="216">
        <v>80.13</v>
      </c>
      <c r="AA142" s="216">
        <v>78.8</v>
      </c>
      <c r="AB142" s="216">
        <v>77.3</v>
      </c>
      <c r="AC142" s="216">
        <v>77.1</v>
      </c>
      <c r="AD142" s="216">
        <v>82.75</v>
      </c>
      <c r="AE142" s="216">
        <v>77.2</v>
      </c>
      <c r="AF142" s="215"/>
      <c r="AG142" s="333">
        <f t="shared" si="4"/>
        <v>-0.0670694864048338</v>
      </c>
      <c r="AH142" s="365"/>
    </row>
    <row r="143" spans="1:34" ht="12.75">
      <c r="A143" s="373"/>
      <c r="B143" s="280"/>
      <c r="C143" s="237" t="s">
        <v>791</v>
      </c>
      <c r="D143" s="230">
        <v>1044.05</v>
      </c>
      <c r="E143" s="230">
        <v>1086.95</v>
      </c>
      <c r="F143" s="230">
        <v>1101.55</v>
      </c>
      <c r="G143" s="230">
        <v>1118.5</v>
      </c>
      <c r="H143" s="255">
        <v>1121.8</v>
      </c>
      <c r="I143" s="238">
        <v>1126.8</v>
      </c>
      <c r="J143" s="238">
        <v>1137.35</v>
      </c>
      <c r="K143" s="238">
        <f>624.7+538.7</f>
        <v>1163.4</v>
      </c>
      <c r="L143" s="238">
        <f>323.45+245.6+533.35</f>
        <v>1102.4</v>
      </c>
      <c r="M143" s="238">
        <f>221.6+520.65+306.05</f>
        <v>1048.3</v>
      </c>
      <c r="N143" s="238">
        <v>989.52</v>
      </c>
      <c r="O143" s="238">
        <v>962.23</v>
      </c>
      <c r="P143" s="238">
        <v>956.8</v>
      </c>
      <c r="Q143" s="238">
        <v>876.75</v>
      </c>
      <c r="R143" s="279">
        <v>816.88</v>
      </c>
      <c r="S143" s="215">
        <v>768.73</v>
      </c>
      <c r="T143" s="216">
        <f>395.75+383.35</f>
        <v>779.1</v>
      </c>
      <c r="U143" s="216">
        <v>762.8</v>
      </c>
      <c r="V143" s="216">
        <v>727.6</v>
      </c>
      <c r="W143" s="216">
        <v>742.45</v>
      </c>
      <c r="X143" s="216">
        <v>773.99</v>
      </c>
      <c r="Y143" s="216">
        <v>744.29</v>
      </c>
      <c r="Z143" s="216">
        <v>728.96</v>
      </c>
      <c r="AA143" s="216">
        <v>744.75</v>
      </c>
      <c r="AB143" s="216">
        <v>755.76</v>
      </c>
      <c r="AC143" s="216">
        <v>719.44</v>
      </c>
      <c r="AD143" s="216">
        <v>734.89</v>
      </c>
      <c r="AE143" s="216">
        <v>711.65</v>
      </c>
      <c r="AF143" s="215"/>
      <c r="AG143" s="333">
        <f t="shared" si="4"/>
        <v>-0.03162378042972419</v>
      </c>
      <c r="AH143" s="365"/>
    </row>
    <row r="144" spans="1:34" ht="12.75">
      <c r="A144" s="373"/>
      <c r="B144" s="280"/>
      <c r="C144" s="237" t="s">
        <v>792</v>
      </c>
      <c r="D144" s="230">
        <v>160.95</v>
      </c>
      <c r="E144" s="230">
        <v>162.5</v>
      </c>
      <c r="F144" s="230">
        <v>149.1</v>
      </c>
      <c r="G144" s="230">
        <v>162.9</v>
      </c>
      <c r="H144" s="238">
        <v>159.25</v>
      </c>
      <c r="I144" s="238">
        <v>134.9</v>
      </c>
      <c r="J144" s="238">
        <v>136.05</v>
      </c>
      <c r="K144" s="238">
        <v>146.65</v>
      </c>
      <c r="L144" s="238">
        <v>144.85</v>
      </c>
      <c r="M144" s="238">
        <v>130.25</v>
      </c>
      <c r="N144" s="238">
        <v>114.75</v>
      </c>
      <c r="O144" s="238">
        <v>118.9</v>
      </c>
      <c r="P144" s="238">
        <v>100.05</v>
      </c>
      <c r="Q144" s="238">
        <v>89</v>
      </c>
      <c r="R144" s="279">
        <v>69.35</v>
      </c>
      <c r="S144" s="215">
        <v>65.5</v>
      </c>
      <c r="T144" s="216">
        <v>59.95</v>
      </c>
      <c r="U144" s="216">
        <v>55.45</v>
      </c>
      <c r="V144" s="216">
        <v>73.3</v>
      </c>
      <c r="W144" s="216">
        <v>72.5</v>
      </c>
      <c r="X144" s="216">
        <v>70.75</v>
      </c>
      <c r="Y144" s="216">
        <v>70.5</v>
      </c>
      <c r="Z144" s="216">
        <v>71</v>
      </c>
      <c r="AA144" s="216">
        <v>72.1</v>
      </c>
      <c r="AB144" s="216">
        <v>64</v>
      </c>
      <c r="AC144" s="216">
        <v>66</v>
      </c>
      <c r="AD144" s="216">
        <v>65.5</v>
      </c>
      <c r="AE144" s="216">
        <v>77.85</v>
      </c>
      <c r="AF144" s="215"/>
      <c r="AG144" s="333">
        <f t="shared" si="4"/>
        <v>0.1885496183206106</v>
      </c>
      <c r="AH144" s="365"/>
    </row>
    <row r="145" spans="1:34" ht="12.75">
      <c r="A145" s="373"/>
      <c r="B145" s="280"/>
      <c r="C145" s="237" t="s">
        <v>793</v>
      </c>
      <c r="D145" s="230">
        <v>159.35</v>
      </c>
      <c r="E145" s="230">
        <v>162.65</v>
      </c>
      <c r="F145" s="230">
        <v>179.35</v>
      </c>
      <c r="G145" s="230">
        <v>194.75</v>
      </c>
      <c r="H145" s="238">
        <v>201.75</v>
      </c>
      <c r="I145" s="238">
        <v>223.05</v>
      </c>
      <c r="J145" s="238">
        <v>243</v>
      </c>
      <c r="K145" s="238">
        <v>236.65</v>
      </c>
      <c r="L145" s="238">
        <v>234.3</v>
      </c>
      <c r="M145" s="238">
        <v>212.35</v>
      </c>
      <c r="N145" s="238">
        <v>198.63</v>
      </c>
      <c r="O145" s="238">
        <v>204.44</v>
      </c>
      <c r="P145" s="238">
        <v>185.45</v>
      </c>
      <c r="Q145" s="238">
        <v>181.75</v>
      </c>
      <c r="R145" s="279">
        <v>198.3</v>
      </c>
      <c r="S145" s="215">
        <v>169.4</v>
      </c>
      <c r="T145" s="216">
        <v>157.75</v>
      </c>
      <c r="U145" s="216">
        <v>174.5</v>
      </c>
      <c r="V145" s="216">
        <v>167</v>
      </c>
      <c r="W145" s="216">
        <v>169.87</v>
      </c>
      <c r="X145" s="216">
        <v>185.3</v>
      </c>
      <c r="Y145" s="216">
        <v>164.65</v>
      </c>
      <c r="Z145" s="216">
        <v>143.59</v>
      </c>
      <c r="AA145" s="216">
        <v>139.3</v>
      </c>
      <c r="AB145" s="216">
        <v>155.9</v>
      </c>
      <c r="AC145" s="216">
        <v>139.6</v>
      </c>
      <c r="AD145" s="216">
        <v>123</v>
      </c>
      <c r="AE145" s="216">
        <v>100.5</v>
      </c>
      <c r="AF145" s="215"/>
      <c r="AG145" s="333">
        <f t="shared" si="4"/>
        <v>-0.18292682926829268</v>
      </c>
      <c r="AH145" s="365"/>
    </row>
    <row r="146" spans="1:34" ht="12.75">
      <c r="A146" s="373"/>
      <c r="B146" s="280"/>
      <c r="C146" s="237" t="s">
        <v>794</v>
      </c>
      <c r="D146" s="230">
        <v>34</v>
      </c>
      <c r="E146" s="230">
        <v>34.9</v>
      </c>
      <c r="F146" s="230">
        <v>35</v>
      </c>
      <c r="G146" s="230">
        <v>38</v>
      </c>
      <c r="H146" s="238">
        <v>36</v>
      </c>
      <c r="I146" s="238">
        <v>35</v>
      </c>
      <c r="J146" s="238">
        <v>40</v>
      </c>
      <c r="K146" s="238">
        <v>37.4</v>
      </c>
      <c r="L146" s="238">
        <v>43.25</v>
      </c>
      <c r="M146" s="238">
        <v>36.8</v>
      </c>
      <c r="N146" s="238">
        <v>29</v>
      </c>
      <c r="O146" s="238">
        <v>34</v>
      </c>
      <c r="P146" s="238">
        <v>32</v>
      </c>
      <c r="Q146" s="238">
        <v>29.1</v>
      </c>
      <c r="R146" s="279">
        <v>29.45</v>
      </c>
      <c r="S146" s="278">
        <v>21</v>
      </c>
      <c r="T146" s="291">
        <v>20</v>
      </c>
      <c r="U146" s="291">
        <v>25</v>
      </c>
      <c r="V146" s="291">
        <v>20</v>
      </c>
      <c r="W146" s="291">
        <v>15</v>
      </c>
      <c r="X146" s="291">
        <v>20</v>
      </c>
      <c r="Y146" s="291">
        <v>21.4</v>
      </c>
      <c r="Z146" s="291">
        <v>19</v>
      </c>
      <c r="AA146" s="291">
        <v>20</v>
      </c>
      <c r="AB146" s="291">
        <v>27</v>
      </c>
      <c r="AC146" s="291">
        <v>26.6</v>
      </c>
      <c r="AD146" s="291">
        <v>36.5</v>
      </c>
      <c r="AE146" s="291">
        <v>33</v>
      </c>
      <c r="AF146" s="278"/>
      <c r="AG146" s="333">
        <f t="shared" si="4"/>
        <v>-0.0958904109589041</v>
      </c>
      <c r="AH146" s="365"/>
    </row>
    <row r="147" spans="1:34" ht="12.75">
      <c r="A147" s="373"/>
      <c r="B147" s="280"/>
      <c r="C147" s="213" t="s">
        <v>1182</v>
      </c>
      <c r="D147" s="230">
        <v>29.75</v>
      </c>
      <c r="E147" s="230">
        <v>37</v>
      </c>
      <c r="F147" s="230">
        <v>31</v>
      </c>
      <c r="G147" s="230">
        <v>36.45</v>
      </c>
      <c r="H147" s="238">
        <v>40</v>
      </c>
      <c r="I147" s="238">
        <v>35.95</v>
      </c>
      <c r="J147" s="238">
        <v>25.75</v>
      </c>
      <c r="K147" s="238">
        <v>36.15</v>
      </c>
      <c r="L147" s="238">
        <v>42.8</v>
      </c>
      <c r="M147" s="238" t="s">
        <v>779</v>
      </c>
      <c r="N147" s="238" t="s">
        <v>779</v>
      </c>
      <c r="O147" s="238" t="s">
        <v>779</v>
      </c>
      <c r="P147" s="238" t="s">
        <v>779</v>
      </c>
      <c r="Q147" s="238" t="s">
        <v>779</v>
      </c>
      <c r="R147" s="238" t="s">
        <v>779</v>
      </c>
      <c r="S147" s="238" t="s">
        <v>779</v>
      </c>
      <c r="T147" s="266" t="s">
        <v>779</v>
      </c>
      <c r="U147" s="266" t="s">
        <v>779</v>
      </c>
      <c r="V147" s="266" t="s">
        <v>779</v>
      </c>
      <c r="W147" s="266" t="s">
        <v>779</v>
      </c>
      <c r="X147" s="266" t="s">
        <v>779</v>
      </c>
      <c r="Y147" s="266" t="s">
        <v>779</v>
      </c>
      <c r="Z147" s="266" t="s">
        <v>779</v>
      </c>
      <c r="AA147" s="266" t="s">
        <v>779</v>
      </c>
      <c r="AB147" s="266" t="s">
        <v>779</v>
      </c>
      <c r="AC147" s="266" t="s">
        <v>779</v>
      </c>
      <c r="AD147" s="266" t="s">
        <v>779</v>
      </c>
      <c r="AE147" s="266" t="s">
        <v>779</v>
      </c>
      <c r="AF147" s="215"/>
      <c r="AG147" s="367"/>
      <c r="AH147" s="365"/>
    </row>
    <row r="148" spans="1:34" ht="12.75">
      <c r="A148" s="373"/>
      <c r="B148" s="280"/>
      <c r="C148" s="237" t="s">
        <v>795</v>
      </c>
      <c r="D148" s="230">
        <v>97.45</v>
      </c>
      <c r="E148" s="230">
        <v>90.5</v>
      </c>
      <c r="F148" s="230">
        <v>85.1</v>
      </c>
      <c r="G148" s="230">
        <v>96.6</v>
      </c>
      <c r="H148" s="238">
        <v>84.95</v>
      </c>
      <c r="I148" s="255">
        <v>98.05</v>
      </c>
      <c r="J148" s="255">
        <v>90.65</v>
      </c>
      <c r="K148" s="255">
        <v>96</v>
      </c>
      <c r="L148" s="255">
        <v>87.95</v>
      </c>
      <c r="M148" s="255">
        <v>78.75</v>
      </c>
      <c r="N148" s="255">
        <v>80.05</v>
      </c>
      <c r="O148" s="255">
        <v>85.95</v>
      </c>
      <c r="P148" s="255">
        <v>76.17</v>
      </c>
      <c r="Q148" s="255">
        <v>72.4</v>
      </c>
      <c r="R148" s="281">
        <v>62.75</v>
      </c>
      <c r="S148" s="215">
        <v>71.25</v>
      </c>
      <c r="T148" s="216">
        <v>66.7</v>
      </c>
      <c r="U148" s="216">
        <v>65.4</v>
      </c>
      <c r="V148" s="216">
        <v>61.4</v>
      </c>
      <c r="W148" s="216">
        <v>46</v>
      </c>
      <c r="X148" s="216">
        <v>49.2</v>
      </c>
      <c r="Y148" s="216">
        <v>43.5</v>
      </c>
      <c r="Z148" s="216">
        <v>40.75</v>
      </c>
      <c r="AA148" s="216">
        <v>48</v>
      </c>
      <c r="AB148" s="216">
        <v>40.5</v>
      </c>
      <c r="AC148" s="216">
        <v>45.65</v>
      </c>
      <c r="AD148" s="216">
        <v>32</v>
      </c>
      <c r="AE148" s="216">
        <v>34.47</v>
      </c>
      <c r="AF148" s="215"/>
      <c r="AG148" s="333">
        <f>(AE148-AD148)/AD148</f>
        <v>0.07718749999999996</v>
      </c>
      <c r="AH148" s="365"/>
    </row>
    <row r="149" spans="1:34" ht="12.75">
      <c r="A149" s="373"/>
      <c r="B149" s="280"/>
      <c r="C149" s="237" t="s">
        <v>796</v>
      </c>
      <c r="D149" s="230">
        <v>750.2</v>
      </c>
      <c r="E149" s="230">
        <v>796.75</v>
      </c>
      <c r="F149" s="230">
        <v>809.3</v>
      </c>
      <c r="G149" s="230">
        <v>843.15</v>
      </c>
      <c r="H149" s="238">
        <v>880.5</v>
      </c>
      <c r="I149" s="238">
        <v>899.75</v>
      </c>
      <c r="J149" s="238">
        <v>876.15</v>
      </c>
      <c r="K149" s="238">
        <f>420.2+433.95</f>
        <v>854.15</v>
      </c>
      <c r="L149" s="238">
        <f>409.9+440.6</f>
        <v>850.5</v>
      </c>
      <c r="M149" s="238">
        <f>410+423.28</f>
        <v>833.28</v>
      </c>
      <c r="N149" s="238">
        <v>807.8</v>
      </c>
      <c r="O149" s="238">
        <v>767.95</v>
      </c>
      <c r="P149" s="238">
        <v>760.65</v>
      </c>
      <c r="Q149" s="238">
        <v>704.2</v>
      </c>
      <c r="R149" s="279">
        <v>743.35</v>
      </c>
      <c r="S149" s="215">
        <v>638.6</v>
      </c>
      <c r="T149" s="216">
        <f>272.15+237.2</f>
        <v>509.34999999999997</v>
      </c>
      <c r="U149" s="216">
        <v>566.2</v>
      </c>
      <c r="V149" s="216">
        <v>549.74</v>
      </c>
      <c r="W149" s="216">
        <v>550.75</v>
      </c>
      <c r="X149" s="216">
        <v>530.63</v>
      </c>
      <c r="Y149" s="216">
        <v>536.33</v>
      </c>
      <c r="Z149" s="216">
        <v>572.9</v>
      </c>
      <c r="AA149" s="216">
        <v>570.4</v>
      </c>
      <c r="AB149" s="216">
        <v>590.75</v>
      </c>
      <c r="AC149" s="216">
        <v>607.25</v>
      </c>
      <c r="AD149" s="216">
        <v>597.41</v>
      </c>
      <c r="AE149" s="216">
        <v>579.23</v>
      </c>
      <c r="AF149" s="215"/>
      <c r="AG149" s="333">
        <f>(AE149-AD149)/AD149</f>
        <v>-0.030431362046165866</v>
      </c>
      <c r="AH149" s="365"/>
    </row>
    <row r="150" spans="1:34" ht="12.75">
      <c r="A150" s="373"/>
      <c r="B150" s="280"/>
      <c r="C150" s="237" t="s">
        <v>797</v>
      </c>
      <c r="D150" s="230">
        <f>2901.2+D151+D138</f>
        <v>3453.7999999999997</v>
      </c>
      <c r="E150" s="230">
        <f>2819.8+E151+E138</f>
        <v>3413.75</v>
      </c>
      <c r="F150" s="230">
        <f>2918.2+F151+F138</f>
        <v>3495.5499999999997</v>
      </c>
      <c r="G150" s="230">
        <f>2940.75+G151+G138</f>
        <v>3569</v>
      </c>
      <c r="H150" s="238">
        <f>3086.1+H151+H138</f>
        <v>3744.95</v>
      </c>
      <c r="I150" s="238">
        <f>3100.6+I151+I138</f>
        <v>3764.8999999999996</v>
      </c>
      <c r="J150" s="238">
        <f>3184.36+J151+J138</f>
        <v>3803.0699999999997</v>
      </c>
      <c r="K150" s="238">
        <f>1325.83+1895.25+K151+K138</f>
        <v>3842.2299999999996</v>
      </c>
      <c r="L150" s="238">
        <f>422.85+420.75+631.75+383.25+576.25+581.4+L151+L138</f>
        <v>3607.15</v>
      </c>
      <c r="M150" s="238">
        <v>3483.56</v>
      </c>
      <c r="N150" s="238">
        <v>3370.39</v>
      </c>
      <c r="O150" s="238">
        <v>3382.67</v>
      </c>
      <c r="P150" s="238">
        <v>3269.71</v>
      </c>
      <c r="Q150" s="238">
        <v>3171.97</v>
      </c>
      <c r="R150" s="279">
        <v>3214.27</v>
      </c>
      <c r="S150" s="215">
        <v>3210.56</v>
      </c>
      <c r="T150" s="216">
        <f>453.1+385.85+488.37+277.93+572.4+486+183.4+170.1+161</f>
        <v>3178.15</v>
      </c>
      <c r="U150" s="216">
        <v>3077</v>
      </c>
      <c r="V150" s="216">
        <v>3027.83</v>
      </c>
      <c r="W150" s="216">
        <v>2924.01</v>
      </c>
      <c r="X150" s="216">
        <v>2820.47</v>
      </c>
      <c r="Y150" s="216">
        <v>2881.37</v>
      </c>
      <c r="Z150" s="216">
        <v>2827.44</v>
      </c>
      <c r="AA150" s="216">
        <v>2808.45</v>
      </c>
      <c r="AB150" s="216">
        <v>2904.27</v>
      </c>
      <c r="AC150" s="216">
        <v>2898.77</v>
      </c>
      <c r="AD150" s="216">
        <v>2859.9</v>
      </c>
      <c r="AE150" s="216">
        <v>2823.7799999999997</v>
      </c>
      <c r="AF150" s="215"/>
      <c r="AG150" s="333">
        <f>(AE150-AD150)/AD150</f>
        <v>-0.012629812231197015</v>
      </c>
      <c r="AH150" s="365"/>
    </row>
    <row r="151" spans="1:34" ht="12.75">
      <c r="A151" s="373"/>
      <c r="B151" s="280"/>
      <c r="C151" s="213" t="s">
        <v>798</v>
      </c>
      <c r="D151" s="230">
        <v>289.85</v>
      </c>
      <c r="E151" s="230">
        <v>313.95</v>
      </c>
      <c r="F151" s="230">
        <v>312.75</v>
      </c>
      <c r="G151" s="230">
        <v>354.5</v>
      </c>
      <c r="H151" s="238">
        <v>386.35</v>
      </c>
      <c r="I151" s="238">
        <v>382.35</v>
      </c>
      <c r="J151" s="238">
        <v>345.95</v>
      </c>
      <c r="K151" s="238">
        <v>325.45</v>
      </c>
      <c r="L151" s="238">
        <v>312.25</v>
      </c>
      <c r="M151" s="238" t="s">
        <v>786</v>
      </c>
      <c r="N151" s="238" t="s">
        <v>786</v>
      </c>
      <c r="O151" s="238" t="s">
        <v>786</v>
      </c>
      <c r="P151" s="238" t="s">
        <v>786</v>
      </c>
      <c r="Q151" s="238" t="s">
        <v>786</v>
      </c>
      <c r="R151" s="238" t="s">
        <v>786</v>
      </c>
      <c r="S151" s="238" t="s">
        <v>786</v>
      </c>
      <c r="T151" s="266" t="s">
        <v>786</v>
      </c>
      <c r="U151" s="266" t="s">
        <v>786</v>
      </c>
      <c r="V151" s="266" t="s">
        <v>786</v>
      </c>
      <c r="W151" s="266" t="s">
        <v>786</v>
      </c>
      <c r="X151" s="266" t="s">
        <v>786</v>
      </c>
      <c r="Y151" s="266" t="s">
        <v>786</v>
      </c>
      <c r="Z151" s="266" t="s">
        <v>786</v>
      </c>
      <c r="AA151" s="266" t="s">
        <v>786</v>
      </c>
      <c r="AB151" s="266" t="s">
        <v>786</v>
      </c>
      <c r="AC151" s="266" t="s">
        <v>786</v>
      </c>
      <c r="AD151" s="266" t="s">
        <v>786</v>
      </c>
      <c r="AE151" s="266" t="s">
        <v>786</v>
      </c>
      <c r="AF151" s="215"/>
      <c r="AG151" s="367"/>
      <c r="AH151" s="365"/>
    </row>
    <row r="152" spans="1:34" ht="12.75">
      <c r="A152" s="373"/>
      <c r="B152" s="280"/>
      <c r="C152" s="237" t="s">
        <v>799</v>
      </c>
      <c r="D152" s="230">
        <v>42</v>
      </c>
      <c r="E152" s="230">
        <v>42.4</v>
      </c>
      <c r="F152" s="230">
        <v>30.45</v>
      </c>
      <c r="G152" s="230">
        <v>34.05</v>
      </c>
      <c r="H152" s="238">
        <v>39.6</v>
      </c>
      <c r="I152" s="238">
        <v>43</v>
      </c>
      <c r="J152" s="238">
        <v>37.45</v>
      </c>
      <c r="K152" s="238">
        <v>42.11</v>
      </c>
      <c r="L152" s="238">
        <v>40.3</v>
      </c>
      <c r="M152" s="238">
        <v>50</v>
      </c>
      <c r="N152" s="238">
        <v>44.9</v>
      </c>
      <c r="O152" s="238">
        <v>44.25</v>
      </c>
      <c r="P152" s="238">
        <v>42.75</v>
      </c>
      <c r="Q152" s="238">
        <v>39.6</v>
      </c>
      <c r="R152" s="279">
        <v>42</v>
      </c>
      <c r="S152" s="215">
        <v>50</v>
      </c>
      <c r="T152" s="216">
        <v>44.75</v>
      </c>
      <c r="U152" s="216">
        <v>31.8</v>
      </c>
      <c r="V152" s="216">
        <v>36.3</v>
      </c>
      <c r="W152" s="216">
        <v>30</v>
      </c>
      <c r="X152" s="216">
        <v>34.5</v>
      </c>
      <c r="Y152" s="216">
        <v>38.65</v>
      </c>
      <c r="Z152" s="216">
        <v>39.25</v>
      </c>
      <c r="AA152" s="216">
        <v>35.7</v>
      </c>
      <c r="AB152" s="216">
        <v>31.5</v>
      </c>
      <c r="AC152" s="216">
        <v>39</v>
      </c>
      <c r="AD152" s="216">
        <v>29</v>
      </c>
      <c r="AE152" s="216">
        <v>28.25</v>
      </c>
      <c r="AF152" s="215"/>
      <c r="AG152" s="333">
        <f>(AE152-AD152)/AD152</f>
        <v>-0.02586206896551724</v>
      </c>
      <c r="AH152" s="365"/>
    </row>
    <row r="153" spans="1:34" ht="12.75">
      <c r="A153" s="373"/>
      <c r="B153" s="280"/>
      <c r="C153" s="213" t="s">
        <v>800</v>
      </c>
      <c r="D153" s="230">
        <v>51.6</v>
      </c>
      <c r="E153" s="230">
        <v>65.55</v>
      </c>
      <c r="F153" s="230">
        <v>75.05</v>
      </c>
      <c r="G153" s="230">
        <v>103.85</v>
      </c>
      <c r="H153" s="239">
        <v>108.65</v>
      </c>
      <c r="I153" s="238">
        <v>134.45</v>
      </c>
      <c r="J153" s="238">
        <v>126.7</v>
      </c>
      <c r="K153" s="238">
        <v>111.25</v>
      </c>
      <c r="L153" s="238">
        <v>108.5</v>
      </c>
      <c r="M153" s="238">
        <v>135.25</v>
      </c>
      <c r="N153" s="238">
        <v>138.3</v>
      </c>
      <c r="O153" s="238">
        <v>135.55</v>
      </c>
      <c r="P153" s="238">
        <v>137</v>
      </c>
      <c r="Q153" s="238">
        <v>137</v>
      </c>
      <c r="R153" s="279">
        <v>129.75</v>
      </c>
      <c r="S153" s="215">
        <v>126.35</v>
      </c>
      <c r="T153" s="216">
        <v>127.1</v>
      </c>
      <c r="U153" s="216">
        <v>116</v>
      </c>
      <c r="V153" s="216">
        <v>117.5</v>
      </c>
      <c r="W153" s="216">
        <v>99.5</v>
      </c>
      <c r="X153" s="216">
        <v>96.45</v>
      </c>
      <c r="Y153" s="216">
        <v>102.45</v>
      </c>
      <c r="Z153" s="216">
        <v>98.78</v>
      </c>
      <c r="AA153" s="216">
        <v>103.75</v>
      </c>
      <c r="AB153" s="216">
        <v>111.1</v>
      </c>
      <c r="AC153" s="216">
        <v>104.25</v>
      </c>
      <c r="AD153" s="216">
        <v>99.8</v>
      </c>
      <c r="AE153" s="216">
        <v>97</v>
      </c>
      <c r="AF153" s="215"/>
      <c r="AG153" s="333">
        <f>(AE153-AD153)/AD153</f>
        <v>-0.02805611222444887</v>
      </c>
      <c r="AH153" s="365"/>
    </row>
    <row r="154" spans="1:34" ht="12.75">
      <c r="A154" s="249"/>
      <c r="B154" s="282"/>
      <c r="C154" s="232" t="s">
        <v>801</v>
      </c>
      <c r="D154" s="233">
        <v>12.05</v>
      </c>
      <c r="E154" s="233" t="s">
        <v>687</v>
      </c>
      <c r="F154" s="233" t="s">
        <v>687</v>
      </c>
      <c r="G154" s="233" t="s">
        <v>687</v>
      </c>
      <c r="H154" s="233" t="s">
        <v>687</v>
      </c>
      <c r="I154" s="233" t="s">
        <v>687</v>
      </c>
      <c r="J154" s="233" t="s">
        <v>687</v>
      </c>
      <c r="K154" s="233" t="s">
        <v>687</v>
      </c>
      <c r="L154" s="233" t="s">
        <v>687</v>
      </c>
      <c r="M154" s="233" t="s">
        <v>687</v>
      </c>
      <c r="N154" s="233" t="s">
        <v>687</v>
      </c>
      <c r="O154" s="233" t="s">
        <v>687</v>
      </c>
      <c r="P154" s="233" t="s">
        <v>687</v>
      </c>
      <c r="Q154" s="233" t="s">
        <v>687</v>
      </c>
      <c r="R154" s="233" t="s">
        <v>687</v>
      </c>
      <c r="S154" s="233" t="s">
        <v>687</v>
      </c>
      <c r="T154" s="305" t="s">
        <v>687</v>
      </c>
      <c r="U154" s="305" t="s">
        <v>687</v>
      </c>
      <c r="V154" s="305" t="s">
        <v>687</v>
      </c>
      <c r="W154" s="305" t="s">
        <v>687</v>
      </c>
      <c r="X154" s="305" t="s">
        <v>687</v>
      </c>
      <c r="Y154" s="356" t="s">
        <v>687</v>
      </c>
      <c r="Z154" s="356" t="s">
        <v>687</v>
      </c>
      <c r="AA154" s="356" t="s">
        <v>687</v>
      </c>
      <c r="AB154" s="356" t="s">
        <v>687</v>
      </c>
      <c r="AC154" s="356" t="s">
        <v>687</v>
      </c>
      <c r="AD154" s="236" t="s">
        <v>687</v>
      </c>
      <c r="AE154" s="236" t="s">
        <v>687</v>
      </c>
      <c r="AF154" s="235"/>
      <c r="AG154" s="331"/>
      <c r="AH154" s="261"/>
    </row>
    <row r="155" spans="1:34" ht="12.75">
      <c r="A155" s="374"/>
      <c r="B155" s="240"/>
      <c r="C155" s="241"/>
      <c r="D155" s="242"/>
      <c r="E155" s="242"/>
      <c r="F155" s="242"/>
      <c r="G155" s="242"/>
      <c r="H155" s="243"/>
      <c r="I155" s="243"/>
      <c r="J155" s="243"/>
      <c r="K155" s="243"/>
      <c r="L155" s="243"/>
      <c r="M155" s="243"/>
      <c r="N155" s="243"/>
      <c r="O155" s="243"/>
      <c r="P155" s="243"/>
      <c r="Q155" s="243"/>
      <c r="R155" s="242"/>
      <c r="S155" s="257"/>
      <c r="T155" s="257"/>
      <c r="U155" s="257"/>
      <c r="V155" s="257"/>
      <c r="W155" s="257"/>
      <c r="X155" s="257"/>
      <c r="Y155" s="257"/>
      <c r="Z155" s="257"/>
      <c r="AA155" s="257"/>
      <c r="AB155" s="257"/>
      <c r="AC155" s="257"/>
      <c r="AD155" s="257"/>
      <c r="AE155" s="257"/>
      <c r="AF155" s="246">
        <f>SUM(AE131:AE154)</f>
        <v>7976.89</v>
      </c>
      <c r="AG155" s="366"/>
      <c r="AH155" s="363"/>
    </row>
    <row r="156" spans="1:34" ht="12.75">
      <c r="A156" s="244" t="s">
        <v>697</v>
      </c>
      <c r="B156" s="229" t="s">
        <v>504</v>
      </c>
      <c r="C156" s="237" t="s">
        <v>504</v>
      </c>
      <c r="D156" s="230">
        <v>2693.25</v>
      </c>
      <c r="E156" s="230">
        <v>2663.5</v>
      </c>
      <c r="F156" s="230">
        <v>2690.1</v>
      </c>
      <c r="G156" s="230">
        <v>2735.38</v>
      </c>
      <c r="H156" s="238">
        <v>2728.93</v>
      </c>
      <c r="I156" s="238">
        <v>2850.4</v>
      </c>
      <c r="J156" s="238">
        <v>2856.25</v>
      </c>
      <c r="K156" s="238">
        <f>1464.7+1266.4</f>
        <v>2731.1000000000004</v>
      </c>
      <c r="L156" s="238">
        <v>2396.55</v>
      </c>
      <c r="M156" s="238">
        <v>2449.1</v>
      </c>
      <c r="N156" s="238">
        <v>2326.13</v>
      </c>
      <c r="O156" s="238">
        <v>2259.68</v>
      </c>
      <c r="P156" s="238">
        <v>2249.55</v>
      </c>
      <c r="Q156" s="238">
        <v>1988.47</v>
      </c>
      <c r="R156" s="238">
        <v>2281.6</v>
      </c>
      <c r="S156" s="215">
        <v>2088.42</v>
      </c>
      <c r="T156" s="216">
        <v>2225.3</v>
      </c>
      <c r="U156" s="216">
        <v>2067.7</v>
      </c>
      <c r="V156" s="216">
        <v>2059.63</v>
      </c>
      <c r="W156" s="216">
        <v>2088.18</v>
      </c>
      <c r="X156" s="216">
        <v>2071.16</v>
      </c>
      <c r="Y156" s="216">
        <v>2092.1</v>
      </c>
      <c r="Z156" s="216">
        <v>2091.65</v>
      </c>
      <c r="AA156" s="216">
        <v>2114.28</v>
      </c>
      <c r="AB156" s="216">
        <v>2143.7</v>
      </c>
      <c r="AC156" s="216">
        <v>2166.62</v>
      </c>
      <c r="AD156" s="216">
        <v>2228.24</v>
      </c>
      <c r="AE156" s="216">
        <v>2227.18</v>
      </c>
      <c r="AF156" s="215"/>
      <c r="AG156" s="333">
        <f>(AE156-AD156)/AD156</f>
        <v>-0.00047571177251999136</v>
      </c>
      <c r="AH156" s="365"/>
    </row>
    <row r="157" spans="1:34" ht="12.75">
      <c r="A157" s="374"/>
      <c r="B157" s="245"/>
      <c r="C157" s="241"/>
      <c r="D157" s="242"/>
      <c r="E157" s="242"/>
      <c r="F157" s="242"/>
      <c r="G157" s="242"/>
      <c r="H157" s="243"/>
      <c r="I157" s="243"/>
      <c r="J157" s="243"/>
      <c r="K157" s="243"/>
      <c r="L157" s="243"/>
      <c r="M157" s="243"/>
      <c r="N157" s="243"/>
      <c r="O157" s="243"/>
      <c r="P157" s="243"/>
      <c r="Q157" s="243"/>
      <c r="R157" s="243"/>
      <c r="S157" s="246"/>
      <c r="T157" s="246"/>
      <c r="U157" s="246"/>
      <c r="V157" s="246"/>
      <c r="W157" s="246"/>
      <c r="X157" s="246"/>
      <c r="Y157" s="246"/>
      <c r="Z157" s="246"/>
      <c r="AA157" s="246"/>
      <c r="AB157" s="246"/>
      <c r="AC157" s="246"/>
      <c r="AD157" s="246"/>
      <c r="AE157" s="246"/>
      <c r="AF157" s="246">
        <f>SUM(AE156:AE156)</f>
        <v>2227.18</v>
      </c>
      <c r="AG157" s="366"/>
      <c r="AH157" s="363"/>
    </row>
    <row r="158" spans="1:34" ht="12.75">
      <c r="A158" s="244" t="s">
        <v>697</v>
      </c>
      <c r="B158" s="229" t="s">
        <v>506</v>
      </c>
      <c r="C158" s="237" t="s">
        <v>506</v>
      </c>
      <c r="D158" s="230">
        <v>201.9</v>
      </c>
      <c r="E158" s="230">
        <v>211.85</v>
      </c>
      <c r="F158" s="230">
        <v>202</v>
      </c>
      <c r="G158" s="230">
        <v>210</v>
      </c>
      <c r="H158" s="238">
        <v>206.95</v>
      </c>
      <c r="I158" s="238">
        <v>220.15</v>
      </c>
      <c r="J158" s="238">
        <v>210.3</v>
      </c>
      <c r="K158" s="238">
        <v>220.85</v>
      </c>
      <c r="L158" s="238">
        <v>196</v>
      </c>
      <c r="M158" s="238">
        <v>205</v>
      </c>
      <c r="N158" s="238">
        <v>194.9</v>
      </c>
      <c r="O158" s="238">
        <v>174</v>
      </c>
      <c r="P158" s="238">
        <v>158.9</v>
      </c>
      <c r="Q158" s="238">
        <v>147.68</v>
      </c>
      <c r="R158" s="238">
        <v>159.6</v>
      </c>
      <c r="S158" s="215">
        <v>135.6</v>
      </c>
      <c r="T158" s="216">
        <v>140.45</v>
      </c>
      <c r="U158" s="216">
        <v>135.5</v>
      </c>
      <c r="V158" s="216">
        <v>125.1</v>
      </c>
      <c r="W158" s="216">
        <v>136.55</v>
      </c>
      <c r="X158" s="216">
        <v>136.8</v>
      </c>
      <c r="Y158" s="216">
        <v>135.85</v>
      </c>
      <c r="Z158" s="216">
        <v>130.5</v>
      </c>
      <c r="AA158" s="216">
        <v>136.35</v>
      </c>
      <c r="AB158" s="216">
        <v>122.95</v>
      </c>
      <c r="AC158" s="216">
        <v>114.55</v>
      </c>
      <c r="AD158" s="216">
        <v>128.15</v>
      </c>
      <c r="AE158" s="216">
        <v>125.5</v>
      </c>
      <c r="AF158" s="215"/>
      <c r="AG158" s="333">
        <f>(AE158-AD158)/AD158</f>
        <v>-0.02067889192352716</v>
      </c>
      <c r="AH158" s="365"/>
    </row>
    <row r="159" spans="1:34" ht="12.75">
      <c r="A159" s="374"/>
      <c r="B159" s="245"/>
      <c r="C159" s="241"/>
      <c r="D159" s="242"/>
      <c r="E159" s="242"/>
      <c r="F159" s="242"/>
      <c r="G159" s="242"/>
      <c r="H159" s="243"/>
      <c r="I159" s="243"/>
      <c r="J159" s="243"/>
      <c r="K159" s="243"/>
      <c r="L159" s="243"/>
      <c r="M159" s="243"/>
      <c r="N159" s="243"/>
      <c r="O159" s="243"/>
      <c r="P159" s="243"/>
      <c r="Q159" s="243"/>
      <c r="R159" s="243"/>
      <c r="S159" s="246"/>
      <c r="T159" s="246"/>
      <c r="U159" s="246"/>
      <c r="V159" s="246"/>
      <c r="W159" s="246"/>
      <c r="X159" s="246"/>
      <c r="Y159" s="246"/>
      <c r="Z159" s="246"/>
      <c r="AA159" s="246"/>
      <c r="AB159" s="246"/>
      <c r="AC159" s="246"/>
      <c r="AD159" s="246"/>
      <c r="AE159" s="246"/>
      <c r="AF159" s="246">
        <f>SUM(AE158:AE158)</f>
        <v>125.5</v>
      </c>
      <c r="AG159" s="366"/>
      <c r="AH159" s="363"/>
    </row>
    <row r="160" spans="1:34" ht="12.75">
      <c r="A160" s="244" t="s">
        <v>697</v>
      </c>
      <c r="B160" s="229" t="s">
        <v>508</v>
      </c>
      <c r="C160" s="237" t="s">
        <v>802</v>
      </c>
      <c r="D160" s="230">
        <v>25.8</v>
      </c>
      <c r="E160" s="230">
        <v>26.75</v>
      </c>
      <c r="F160" s="230">
        <v>22.9</v>
      </c>
      <c r="G160" s="230">
        <v>30.38</v>
      </c>
      <c r="H160" s="238">
        <v>20.5</v>
      </c>
      <c r="I160" s="238">
        <v>21.1</v>
      </c>
      <c r="J160" s="238">
        <v>20</v>
      </c>
      <c r="K160" s="238">
        <v>32.85</v>
      </c>
      <c r="L160" s="238">
        <v>31.2</v>
      </c>
      <c r="M160" s="238">
        <v>18.5</v>
      </c>
      <c r="N160" s="238">
        <v>14</v>
      </c>
      <c r="O160" s="238">
        <v>14</v>
      </c>
      <c r="P160" s="238">
        <v>16.45</v>
      </c>
      <c r="Q160" s="238">
        <v>16.45</v>
      </c>
      <c r="R160" s="238">
        <v>16</v>
      </c>
      <c r="S160" s="215">
        <v>15</v>
      </c>
      <c r="T160" s="216">
        <v>11</v>
      </c>
      <c r="U160" s="216">
        <v>14</v>
      </c>
      <c r="V160" s="216">
        <v>16</v>
      </c>
      <c r="W160" s="216">
        <v>18</v>
      </c>
      <c r="X160" s="216">
        <v>14.8</v>
      </c>
      <c r="Y160" s="216">
        <v>17</v>
      </c>
      <c r="Z160" s="216">
        <v>19.25</v>
      </c>
      <c r="AA160" s="216">
        <v>22</v>
      </c>
      <c r="AB160" s="216">
        <v>26</v>
      </c>
      <c r="AC160" s="216">
        <v>23.8</v>
      </c>
      <c r="AD160" s="216">
        <v>27</v>
      </c>
      <c r="AE160" s="216">
        <v>19</v>
      </c>
      <c r="AF160" s="215"/>
      <c r="AG160" s="333">
        <f>(AE160-AD160)/AD160</f>
        <v>-0.2962962962962963</v>
      </c>
      <c r="AH160" s="365"/>
    </row>
    <row r="161" spans="1:34" ht="12.75">
      <c r="A161" s="249"/>
      <c r="B161" s="250"/>
      <c r="C161" s="251" t="s">
        <v>803</v>
      </c>
      <c r="D161" s="233">
        <v>5.7</v>
      </c>
      <c r="E161" s="233">
        <v>12.05</v>
      </c>
      <c r="F161" s="233">
        <v>8.3</v>
      </c>
      <c r="G161" s="233">
        <v>12</v>
      </c>
      <c r="H161" s="234">
        <v>14.9</v>
      </c>
      <c r="I161" s="234">
        <v>22.5</v>
      </c>
      <c r="J161" s="234">
        <v>19</v>
      </c>
      <c r="K161" s="234">
        <v>21</v>
      </c>
      <c r="L161" s="234">
        <v>14.1</v>
      </c>
      <c r="M161" s="234">
        <v>16</v>
      </c>
      <c r="N161" s="234" t="s">
        <v>687</v>
      </c>
      <c r="O161" s="234" t="s">
        <v>687</v>
      </c>
      <c r="P161" s="234" t="s">
        <v>687</v>
      </c>
      <c r="Q161" s="234" t="s">
        <v>687</v>
      </c>
      <c r="R161" s="234" t="s">
        <v>687</v>
      </c>
      <c r="S161" s="234" t="s">
        <v>687</v>
      </c>
      <c r="T161" s="306" t="s">
        <v>687</v>
      </c>
      <c r="U161" s="306" t="s">
        <v>687</v>
      </c>
      <c r="V161" s="306" t="s">
        <v>687</v>
      </c>
      <c r="W161" s="306" t="s">
        <v>687</v>
      </c>
      <c r="X161" s="306" t="s">
        <v>687</v>
      </c>
      <c r="Y161" s="356" t="s">
        <v>687</v>
      </c>
      <c r="Z161" s="356" t="s">
        <v>687</v>
      </c>
      <c r="AA161" s="356" t="s">
        <v>687</v>
      </c>
      <c r="AB161" s="356" t="s">
        <v>687</v>
      </c>
      <c r="AC161" s="356" t="s">
        <v>687</v>
      </c>
      <c r="AD161" s="236" t="s">
        <v>687</v>
      </c>
      <c r="AE161" s="236" t="s">
        <v>687</v>
      </c>
      <c r="AF161" s="235"/>
      <c r="AG161" s="333"/>
      <c r="AH161" s="261"/>
    </row>
    <row r="162" spans="1:34" ht="12.75">
      <c r="A162" s="373"/>
      <c r="B162" s="229"/>
      <c r="C162" s="237" t="s">
        <v>804</v>
      </c>
      <c r="D162" s="230">
        <v>30.5</v>
      </c>
      <c r="E162" s="230">
        <v>29.95</v>
      </c>
      <c r="F162" s="230">
        <v>28.35</v>
      </c>
      <c r="G162" s="230">
        <v>33.2</v>
      </c>
      <c r="H162" s="238">
        <v>32.8</v>
      </c>
      <c r="I162" s="238">
        <v>30.63</v>
      </c>
      <c r="J162" s="238">
        <v>23.31</v>
      </c>
      <c r="K162" s="238">
        <v>25.5</v>
      </c>
      <c r="L162" s="238">
        <v>24.55</v>
      </c>
      <c r="M162" s="238">
        <v>20.5</v>
      </c>
      <c r="N162" s="238">
        <v>22</v>
      </c>
      <c r="O162" s="238">
        <v>18</v>
      </c>
      <c r="P162" s="238">
        <v>17</v>
      </c>
      <c r="Q162" s="238">
        <v>12</v>
      </c>
      <c r="R162" s="238">
        <v>11</v>
      </c>
      <c r="S162" s="215">
        <v>12.2</v>
      </c>
      <c r="T162" s="216">
        <v>13.3</v>
      </c>
      <c r="U162" s="216">
        <v>11.4</v>
      </c>
      <c r="V162" s="236" t="s">
        <v>687</v>
      </c>
      <c r="W162" s="236" t="s">
        <v>687</v>
      </c>
      <c r="X162" s="216">
        <v>10</v>
      </c>
      <c r="Y162" s="216">
        <v>15</v>
      </c>
      <c r="Z162" s="216">
        <v>12</v>
      </c>
      <c r="AA162" s="216">
        <v>11.3</v>
      </c>
      <c r="AB162" s="216">
        <v>13</v>
      </c>
      <c r="AC162" s="216">
        <v>21</v>
      </c>
      <c r="AD162" s="216">
        <v>25.85</v>
      </c>
      <c r="AE162" s="216"/>
      <c r="AF162" s="215"/>
      <c r="AG162" s="333">
        <f>(AE162-AD162)/AD162</f>
        <v>-1</v>
      </c>
      <c r="AH162" s="365"/>
    </row>
    <row r="163" spans="1:34" ht="12.75">
      <c r="A163" s="249"/>
      <c r="B163" s="250"/>
      <c r="C163" s="237" t="s">
        <v>805</v>
      </c>
      <c r="D163" s="233">
        <v>17.5</v>
      </c>
      <c r="E163" s="233">
        <v>13.18</v>
      </c>
      <c r="F163" s="233">
        <v>16</v>
      </c>
      <c r="G163" s="233">
        <v>20</v>
      </c>
      <c r="H163" s="234">
        <v>13.4</v>
      </c>
      <c r="I163" s="234">
        <v>18.9</v>
      </c>
      <c r="J163" s="234">
        <v>19.6</v>
      </c>
      <c r="K163" s="234">
        <v>15.65</v>
      </c>
      <c r="L163" s="234">
        <v>0</v>
      </c>
      <c r="M163" s="234"/>
      <c r="N163" s="234">
        <v>10</v>
      </c>
      <c r="O163" s="234">
        <v>10.1</v>
      </c>
      <c r="P163" s="234">
        <v>10</v>
      </c>
      <c r="Q163" s="238">
        <v>10.25</v>
      </c>
      <c r="R163" s="238">
        <v>3.15</v>
      </c>
      <c r="S163" s="234" t="s">
        <v>687</v>
      </c>
      <c r="T163" s="306" t="s">
        <v>687</v>
      </c>
      <c r="U163" s="265">
        <v>12</v>
      </c>
      <c r="V163" s="265">
        <v>11.3</v>
      </c>
      <c r="W163" s="265">
        <v>10</v>
      </c>
      <c r="X163" s="265">
        <v>10.6</v>
      </c>
      <c r="Y163" s="265">
        <v>13</v>
      </c>
      <c r="Z163" s="306" t="s">
        <v>687</v>
      </c>
      <c r="AA163" s="306" t="s">
        <v>687</v>
      </c>
      <c r="AB163" s="306" t="s">
        <v>687</v>
      </c>
      <c r="AC163" s="265">
        <v>14</v>
      </c>
      <c r="AD163" s="265">
        <v>10</v>
      </c>
      <c r="AE163" s="461" t="s">
        <v>687</v>
      </c>
      <c r="AF163" s="235"/>
      <c r="AG163" s="333"/>
      <c r="AH163" s="261"/>
    </row>
    <row r="164" spans="1:34" ht="12.75">
      <c r="A164" s="373"/>
      <c r="B164" s="229"/>
      <c r="C164" s="237" t="s">
        <v>806</v>
      </c>
      <c r="D164" s="230">
        <v>22</v>
      </c>
      <c r="E164" s="230">
        <v>18</v>
      </c>
      <c r="F164" s="230">
        <v>16.48</v>
      </c>
      <c r="G164" s="230">
        <v>13</v>
      </c>
      <c r="H164" s="238">
        <v>7.9</v>
      </c>
      <c r="I164" s="238">
        <v>14.5</v>
      </c>
      <c r="J164" s="238">
        <v>13</v>
      </c>
      <c r="K164" s="238">
        <v>9.5</v>
      </c>
      <c r="L164" s="238">
        <v>7</v>
      </c>
      <c r="M164" s="238">
        <v>0</v>
      </c>
      <c r="N164" s="238">
        <v>10</v>
      </c>
      <c r="O164" s="238">
        <v>10</v>
      </c>
      <c r="P164" s="238">
        <v>0</v>
      </c>
      <c r="Q164" s="238"/>
      <c r="R164" s="238"/>
      <c r="S164" s="215">
        <v>10.95</v>
      </c>
      <c r="T164" s="216">
        <v>11.5</v>
      </c>
      <c r="U164" s="216">
        <v>13</v>
      </c>
      <c r="V164" s="216">
        <v>12</v>
      </c>
      <c r="W164" s="216">
        <v>13</v>
      </c>
      <c r="X164" s="216">
        <v>15</v>
      </c>
      <c r="Y164" s="216">
        <v>16</v>
      </c>
      <c r="Z164" s="216">
        <v>12</v>
      </c>
      <c r="AA164" s="216">
        <v>11</v>
      </c>
      <c r="AB164" s="216">
        <v>10</v>
      </c>
      <c r="AC164" s="216">
        <v>7</v>
      </c>
      <c r="AD164" s="216">
        <v>10</v>
      </c>
      <c r="AE164" s="216">
        <v>9</v>
      </c>
      <c r="AF164" s="215"/>
      <c r="AG164" s="333">
        <f aca="true" t="shared" si="5" ref="AG164:AG169">(AE164-AD164)/AD164</f>
        <v>-0.1</v>
      </c>
      <c r="AH164" s="365"/>
    </row>
    <row r="165" spans="1:34" ht="12.75">
      <c r="A165" s="373"/>
      <c r="B165" s="229"/>
      <c r="C165" s="237" t="s">
        <v>807</v>
      </c>
      <c r="D165" s="230">
        <v>2127.43</v>
      </c>
      <c r="E165" s="230">
        <v>2225.2</v>
      </c>
      <c r="F165" s="230">
        <v>2261.65</v>
      </c>
      <c r="G165" s="230">
        <v>2428.63</v>
      </c>
      <c r="H165" s="238">
        <v>2392.05</v>
      </c>
      <c r="I165" s="238">
        <v>2543.13</v>
      </c>
      <c r="J165" s="238">
        <v>2550.1</v>
      </c>
      <c r="K165" s="238">
        <f>1409.85+1119.15</f>
        <v>2529</v>
      </c>
      <c r="L165" s="238">
        <f>431.85+261.1+273.2+375.05+364.19+725.7</f>
        <v>2431.09</v>
      </c>
      <c r="M165" s="238">
        <v>2483.75</v>
      </c>
      <c r="N165" s="238">
        <v>2513</v>
      </c>
      <c r="O165" s="238">
        <v>2550.74</v>
      </c>
      <c r="P165" s="238">
        <v>2501.5</v>
      </c>
      <c r="Q165" s="238">
        <v>2420.58</v>
      </c>
      <c r="R165" s="238">
        <f>(339.05+826.3+375.15+291.7+299.05+289.2)</f>
        <v>2420.45</v>
      </c>
      <c r="S165" s="215">
        <v>2437.82</v>
      </c>
      <c r="T165" s="216">
        <f>318+818.4+344.55+265.25+303.85+317.47</f>
        <v>2367.5200000000004</v>
      </c>
      <c r="U165" s="216">
        <v>2395.35</v>
      </c>
      <c r="V165" s="216">
        <v>2349.84</v>
      </c>
      <c r="W165" s="216">
        <v>2338.04</v>
      </c>
      <c r="X165" s="216">
        <v>2305.62</v>
      </c>
      <c r="Y165" s="216">
        <v>2239.53</v>
      </c>
      <c r="Z165" s="216">
        <v>2244.45</v>
      </c>
      <c r="AA165" s="216">
        <v>2238.54</v>
      </c>
      <c r="AB165" s="216">
        <v>2190.61</v>
      </c>
      <c r="AC165" s="216">
        <v>2144.76</v>
      </c>
      <c r="AD165" s="216">
        <v>2109.97</v>
      </c>
      <c r="AE165" s="216">
        <v>2094.4300000000003</v>
      </c>
      <c r="AF165" s="215"/>
      <c r="AG165" s="333">
        <f t="shared" si="5"/>
        <v>-0.007365033626070281</v>
      </c>
      <c r="AH165" s="365"/>
    </row>
    <row r="166" spans="1:34" ht="12.75">
      <c r="A166" s="373"/>
      <c r="B166" s="229"/>
      <c r="C166" s="237" t="s">
        <v>808</v>
      </c>
      <c r="D166" s="230">
        <v>21.65</v>
      </c>
      <c r="E166" s="230">
        <v>28.1</v>
      </c>
      <c r="F166" s="230">
        <v>32.7</v>
      </c>
      <c r="G166" s="230">
        <v>21.8</v>
      </c>
      <c r="H166" s="238">
        <v>26.4</v>
      </c>
      <c r="I166" s="238">
        <v>19.75</v>
      </c>
      <c r="J166" s="238">
        <v>17.65</v>
      </c>
      <c r="K166" s="238">
        <v>34.5</v>
      </c>
      <c r="L166" s="238">
        <v>23.75</v>
      </c>
      <c r="M166" s="238">
        <v>18.8</v>
      </c>
      <c r="N166" s="238">
        <v>17</v>
      </c>
      <c r="O166" s="238">
        <v>24</v>
      </c>
      <c r="P166" s="238">
        <v>24.2</v>
      </c>
      <c r="Q166" s="238">
        <v>15</v>
      </c>
      <c r="R166" s="238">
        <v>18.5</v>
      </c>
      <c r="S166" s="215">
        <v>17.5</v>
      </c>
      <c r="T166" s="216">
        <v>17</v>
      </c>
      <c r="U166" s="216">
        <v>21</v>
      </c>
      <c r="V166" s="216">
        <v>13</v>
      </c>
      <c r="W166" s="216">
        <v>11</v>
      </c>
      <c r="X166" s="216">
        <v>15.75</v>
      </c>
      <c r="Y166" s="216">
        <v>11</v>
      </c>
      <c r="Z166" s="216">
        <v>11.65</v>
      </c>
      <c r="AA166" s="216">
        <v>14</v>
      </c>
      <c r="AB166" s="216">
        <v>16.85</v>
      </c>
      <c r="AC166" s="216">
        <v>15</v>
      </c>
      <c r="AD166" s="216">
        <v>16</v>
      </c>
      <c r="AE166" s="216">
        <v>13.75</v>
      </c>
      <c r="AF166" s="215"/>
      <c r="AG166" s="333">
        <f t="shared" si="5"/>
        <v>-0.140625</v>
      </c>
      <c r="AH166" s="365"/>
    </row>
    <row r="167" spans="1:34" ht="12.75">
      <c r="A167" s="373"/>
      <c r="B167" s="229"/>
      <c r="C167" s="237" t="s">
        <v>809</v>
      </c>
      <c r="D167" s="230">
        <v>64.3</v>
      </c>
      <c r="E167" s="230">
        <v>77.35</v>
      </c>
      <c r="F167" s="230">
        <v>78.4</v>
      </c>
      <c r="G167" s="230">
        <v>86.38</v>
      </c>
      <c r="H167" s="238">
        <v>91.4</v>
      </c>
      <c r="I167" s="238">
        <v>91.15</v>
      </c>
      <c r="J167" s="238">
        <v>94.45</v>
      </c>
      <c r="K167" s="238">
        <v>83.15</v>
      </c>
      <c r="L167" s="238">
        <v>70.9</v>
      </c>
      <c r="M167" s="238">
        <v>67.75</v>
      </c>
      <c r="N167" s="238">
        <v>61</v>
      </c>
      <c r="O167" s="238">
        <v>64</v>
      </c>
      <c r="P167" s="238">
        <v>62.45</v>
      </c>
      <c r="Q167" s="238">
        <v>57.3</v>
      </c>
      <c r="R167" s="238">
        <v>55.3</v>
      </c>
      <c r="S167" s="215">
        <v>58.75</v>
      </c>
      <c r="T167" s="216">
        <v>55</v>
      </c>
      <c r="U167" s="216">
        <v>50</v>
      </c>
      <c r="V167" s="216">
        <v>45</v>
      </c>
      <c r="W167" s="216">
        <v>45.85</v>
      </c>
      <c r="X167" s="216">
        <v>42.45</v>
      </c>
      <c r="Y167" s="216">
        <v>37.5</v>
      </c>
      <c r="Z167" s="216">
        <v>34.3</v>
      </c>
      <c r="AA167" s="216">
        <v>31.1</v>
      </c>
      <c r="AB167" s="216">
        <v>31.35</v>
      </c>
      <c r="AC167" s="216">
        <v>34.65</v>
      </c>
      <c r="AD167" s="216">
        <v>30.25</v>
      </c>
      <c r="AE167" s="216">
        <v>27.5</v>
      </c>
      <c r="AF167" s="215"/>
      <c r="AG167" s="333">
        <f t="shared" si="5"/>
        <v>-0.09090909090909091</v>
      </c>
      <c r="AH167" s="213"/>
    </row>
    <row r="168" spans="1:34" ht="12.75">
      <c r="A168" s="373"/>
      <c r="B168" s="229"/>
      <c r="C168" s="237" t="s">
        <v>810</v>
      </c>
      <c r="D168" s="230">
        <v>36.75</v>
      </c>
      <c r="E168" s="230">
        <v>41</v>
      </c>
      <c r="F168" s="230">
        <v>41.05</v>
      </c>
      <c r="G168" s="230">
        <v>42.5</v>
      </c>
      <c r="H168" s="238">
        <v>44.5</v>
      </c>
      <c r="I168" s="238">
        <v>46.1</v>
      </c>
      <c r="J168" s="238">
        <v>42.2</v>
      </c>
      <c r="K168" s="238">
        <v>42</v>
      </c>
      <c r="L168" s="238">
        <v>53</v>
      </c>
      <c r="M168" s="238">
        <v>49</v>
      </c>
      <c r="N168" s="238">
        <v>50.85</v>
      </c>
      <c r="O168" s="238">
        <v>51</v>
      </c>
      <c r="P168" s="238">
        <v>50.75</v>
      </c>
      <c r="Q168" s="238">
        <v>45.3</v>
      </c>
      <c r="R168" s="238">
        <v>53</v>
      </c>
      <c r="S168" s="215">
        <v>44</v>
      </c>
      <c r="T168" s="216">
        <v>44</v>
      </c>
      <c r="U168" s="216">
        <v>46.4</v>
      </c>
      <c r="V168" s="216">
        <v>34.2</v>
      </c>
      <c r="W168" s="216">
        <v>30.75</v>
      </c>
      <c r="X168" s="216">
        <v>29</v>
      </c>
      <c r="Y168" s="216">
        <v>33.55</v>
      </c>
      <c r="Z168" s="216">
        <v>43</v>
      </c>
      <c r="AA168" s="216">
        <v>33</v>
      </c>
      <c r="AB168" s="216">
        <v>33.8</v>
      </c>
      <c r="AC168" s="216">
        <v>29.45</v>
      </c>
      <c r="AD168" s="216">
        <v>19</v>
      </c>
      <c r="AE168" s="216">
        <v>20</v>
      </c>
      <c r="AF168" s="215"/>
      <c r="AG168" s="333">
        <f t="shared" si="5"/>
        <v>0.05263157894736842</v>
      </c>
      <c r="AH168" s="213"/>
    </row>
    <row r="169" spans="1:34" ht="12.75">
      <c r="A169" s="373"/>
      <c r="B169" s="229"/>
      <c r="C169" s="237" t="s">
        <v>811</v>
      </c>
      <c r="D169" s="230">
        <v>52.25</v>
      </c>
      <c r="E169" s="230">
        <v>53.5</v>
      </c>
      <c r="F169" s="230">
        <v>58.1</v>
      </c>
      <c r="G169" s="230">
        <v>59.93</v>
      </c>
      <c r="H169" s="238">
        <v>67.6</v>
      </c>
      <c r="I169" s="238">
        <v>64</v>
      </c>
      <c r="J169" s="238">
        <v>62.7</v>
      </c>
      <c r="K169" s="238">
        <v>58.15</v>
      </c>
      <c r="L169" s="238">
        <v>62.75</v>
      </c>
      <c r="M169" s="238">
        <v>58</v>
      </c>
      <c r="N169" s="238">
        <v>44.5</v>
      </c>
      <c r="O169" s="238">
        <v>43</v>
      </c>
      <c r="P169" s="238">
        <v>48</v>
      </c>
      <c r="Q169" s="238">
        <v>44</v>
      </c>
      <c r="R169" s="238">
        <v>47</v>
      </c>
      <c r="S169" s="215">
        <v>39.25</v>
      </c>
      <c r="T169" s="216">
        <v>35</v>
      </c>
      <c r="U169" s="216">
        <v>38</v>
      </c>
      <c r="V169" s="216">
        <v>32</v>
      </c>
      <c r="W169" s="216">
        <v>35.45</v>
      </c>
      <c r="X169" s="216">
        <v>36</v>
      </c>
      <c r="Y169" s="216">
        <v>26</v>
      </c>
      <c r="Z169" s="216">
        <v>23.05</v>
      </c>
      <c r="AA169" s="216">
        <v>20.45</v>
      </c>
      <c r="AB169" s="216">
        <v>20</v>
      </c>
      <c r="AC169" s="216">
        <v>18.5</v>
      </c>
      <c r="AD169" s="216">
        <v>12</v>
      </c>
      <c r="AE169" s="216">
        <v>6.25</v>
      </c>
      <c r="AF169" s="215"/>
      <c r="AG169" s="333">
        <f t="shared" si="5"/>
        <v>-0.4791666666666667</v>
      </c>
      <c r="AH169" s="213"/>
    </row>
    <row r="170" spans="1:34" ht="12.75">
      <c r="A170" s="374"/>
      <c r="B170" s="245"/>
      <c r="C170" s="241"/>
      <c r="D170" s="242"/>
      <c r="E170" s="242"/>
      <c r="F170" s="242"/>
      <c r="G170" s="242"/>
      <c r="H170" s="243"/>
      <c r="I170" s="243"/>
      <c r="J170" s="242"/>
      <c r="K170" s="242"/>
      <c r="L170" s="242"/>
      <c r="M170" s="242"/>
      <c r="N170" s="242"/>
      <c r="O170" s="242"/>
      <c r="P170" s="242"/>
      <c r="Q170" s="242"/>
      <c r="R170" s="242"/>
      <c r="S170" s="242"/>
      <c r="T170" s="242"/>
      <c r="U170" s="242"/>
      <c r="V170" s="242"/>
      <c r="W170" s="242"/>
      <c r="X170" s="242"/>
      <c r="Y170" s="242"/>
      <c r="Z170" s="242"/>
      <c r="AA170" s="242"/>
      <c r="AB170" s="242"/>
      <c r="AC170" s="242"/>
      <c r="AD170" s="242"/>
      <c r="AE170" s="242"/>
      <c r="AF170" s="246">
        <f>SUM(AE160:AE169)</f>
        <v>2189.9300000000003</v>
      </c>
      <c r="AG170" s="330"/>
      <c r="AH170" s="241"/>
    </row>
    <row r="171" spans="1:34" ht="12.75">
      <c r="A171" s="244" t="s">
        <v>685</v>
      </c>
      <c r="B171" s="229" t="s">
        <v>518</v>
      </c>
      <c r="C171" s="237" t="s">
        <v>812</v>
      </c>
      <c r="D171" s="230">
        <v>189.6</v>
      </c>
      <c r="E171" s="230">
        <v>184.3</v>
      </c>
      <c r="F171" s="230">
        <v>180</v>
      </c>
      <c r="G171" s="230">
        <v>168.95</v>
      </c>
      <c r="H171" s="238">
        <v>176.2</v>
      </c>
      <c r="I171" s="238">
        <v>185.85</v>
      </c>
      <c r="J171" s="238">
        <v>189.05</v>
      </c>
      <c r="K171" s="238">
        <v>173.25</v>
      </c>
      <c r="L171" s="238">
        <f>78.25+9+23+64.05</f>
        <v>174.3</v>
      </c>
      <c r="M171" s="238">
        <f>59.9+33+85</f>
        <v>177.9</v>
      </c>
      <c r="N171" s="238">
        <v>173.35</v>
      </c>
      <c r="O171" s="238">
        <f>61.4+32+54.75</f>
        <v>148.15</v>
      </c>
      <c r="P171" s="238">
        <f>37.5+34.95+59.55</f>
        <v>132</v>
      </c>
      <c r="Q171" s="238">
        <f>60.45+74.95</f>
        <v>135.4</v>
      </c>
      <c r="R171" s="238">
        <f>(56.7+71.75)</f>
        <v>128.45</v>
      </c>
      <c r="S171" s="215">
        <v>138.1</v>
      </c>
      <c r="T171" s="216">
        <f>56+72</f>
        <v>128</v>
      </c>
      <c r="U171" s="216">
        <v>119.35</v>
      </c>
      <c r="V171" s="216">
        <v>112.5</v>
      </c>
      <c r="W171" s="216">
        <v>112.75</v>
      </c>
      <c r="X171" s="216">
        <v>122.2</v>
      </c>
      <c r="Y171" s="216">
        <v>129.2</v>
      </c>
      <c r="Z171" s="216">
        <v>129.25</v>
      </c>
      <c r="AA171" s="216">
        <v>122.95</v>
      </c>
      <c r="AB171" s="216">
        <v>128.4</v>
      </c>
      <c r="AC171" s="216">
        <v>136.05</v>
      </c>
      <c r="AD171" s="216">
        <v>139.45</v>
      </c>
      <c r="AE171" s="216">
        <v>126.6</v>
      </c>
      <c r="AF171" s="215"/>
      <c r="AG171" s="333">
        <f>(AE171-AD171)/AD171</f>
        <v>-0.09214772319827892</v>
      </c>
      <c r="AH171" s="213"/>
    </row>
    <row r="172" spans="1:34" ht="12.75">
      <c r="A172" s="373"/>
      <c r="B172" s="229"/>
      <c r="C172" s="237" t="s">
        <v>813</v>
      </c>
      <c r="D172" s="230">
        <v>38.15</v>
      </c>
      <c r="E172" s="230">
        <v>34.05</v>
      </c>
      <c r="F172" s="230">
        <v>31.35</v>
      </c>
      <c r="G172" s="230">
        <v>35</v>
      </c>
      <c r="H172" s="238">
        <v>35.25</v>
      </c>
      <c r="I172" s="238">
        <v>38.25</v>
      </c>
      <c r="J172" s="238">
        <v>33.65</v>
      </c>
      <c r="K172" s="238">
        <v>38.65</v>
      </c>
      <c r="L172" s="238">
        <v>34.45</v>
      </c>
      <c r="M172" s="238">
        <v>40.5</v>
      </c>
      <c r="N172" s="238">
        <v>38.8</v>
      </c>
      <c r="O172" s="238">
        <v>35</v>
      </c>
      <c r="P172" s="238">
        <v>32.25</v>
      </c>
      <c r="Q172" s="238">
        <v>33.55</v>
      </c>
      <c r="R172" s="238">
        <v>37</v>
      </c>
      <c r="S172" s="215">
        <v>32.25</v>
      </c>
      <c r="T172" s="216">
        <v>29.25</v>
      </c>
      <c r="U172" s="216">
        <v>31</v>
      </c>
      <c r="V172" s="216">
        <v>31</v>
      </c>
      <c r="W172" s="216">
        <v>27.4</v>
      </c>
      <c r="X172" s="216">
        <v>31.75</v>
      </c>
      <c r="Y172" s="216">
        <v>32.2</v>
      </c>
      <c r="Z172" s="216">
        <v>22.65</v>
      </c>
      <c r="AA172" s="216">
        <v>28.05</v>
      </c>
      <c r="AB172" s="216">
        <v>34</v>
      </c>
      <c r="AC172" s="216">
        <v>22</v>
      </c>
      <c r="AD172" s="216">
        <v>19</v>
      </c>
      <c r="AE172" s="216">
        <v>18</v>
      </c>
      <c r="AF172" s="215"/>
      <c r="AG172" s="333">
        <f>(AE172-AD172)/AD172</f>
        <v>-0.05263157894736842</v>
      </c>
      <c r="AH172" s="213"/>
    </row>
    <row r="173" spans="1:34" ht="12.75">
      <c r="A173" s="373"/>
      <c r="B173" s="229"/>
      <c r="C173" s="237" t="s">
        <v>814</v>
      </c>
      <c r="D173" s="230">
        <v>22.7</v>
      </c>
      <c r="E173" s="230">
        <v>24.95</v>
      </c>
      <c r="F173" s="230">
        <v>28.85</v>
      </c>
      <c r="G173" s="230">
        <v>31.6</v>
      </c>
      <c r="H173" s="238">
        <v>37.25</v>
      </c>
      <c r="I173" s="238">
        <v>34.85</v>
      </c>
      <c r="J173" s="238">
        <v>42.7</v>
      </c>
      <c r="K173" s="238">
        <v>39.25</v>
      </c>
      <c r="L173" s="238">
        <v>43.55</v>
      </c>
      <c r="M173" s="238">
        <v>44.25</v>
      </c>
      <c r="N173" s="238">
        <v>37.6</v>
      </c>
      <c r="O173" s="238">
        <v>35.25</v>
      </c>
      <c r="P173" s="238">
        <v>49</v>
      </c>
      <c r="Q173" s="238">
        <v>49.35</v>
      </c>
      <c r="R173" s="238">
        <v>45.1</v>
      </c>
      <c r="S173" s="215">
        <v>45.4</v>
      </c>
      <c r="T173" s="216">
        <v>42.4</v>
      </c>
      <c r="U173" s="216">
        <v>41</v>
      </c>
      <c r="V173" s="216">
        <v>39.5</v>
      </c>
      <c r="W173" s="216">
        <v>33.25</v>
      </c>
      <c r="X173" s="216">
        <v>33.8</v>
      </c>
      <c r="Y173" s="216">
        <v>25.6</v>
      </c>
      <c r="Z173" s="216">
        <v>17.6</v>
      </c>
      <c r="AA173" s="216">
        <v>20</v>
      </c>
      <c r="AB173" s="216">
        <v>15</v>
      </c>
      <c r="AC173" s="216">
        <v>20</v>
      </c>
      <c r="AD173" s="216">
        <v>18.2</v>
      </c>
      <c r="AE173" s="216">
        <v>22.2</v>
      </c>
      <c r="AF173" s="215"/>
      <c r="AG173" s="333">
        <f>(AE173-AD173)/AD173</f>
        <v>0.21978021978021978</v>
      </c>
      <c r="AH173" s="213"/>
    </row>
    <row r="174" spans="1:34" ht="12.75">
      <c r="A174" s="373"/>
      <c r="B174" s="229"/>
      <c r="C174" s="389" t="s">
        <v>815</v>
      </c>
      <c r="D174" s="230">
        <v>8</v>
      </c>
      <c r="E174" s="230">
        <v>15</v>
      </c>
      <c r="F174" s="230">
        <v>13.25</v>
      </c>
      <c r="G174" s="230">
        <v>25.75</v>
      </c>
      <c r="H174" s="238">
        <v>15.05</v>
      </c>
      <c r="I174" s="238">
        <v>17.9</v>
      </c>
      <c r="J174" s="238">
        <v>13</v>
      </c>
      <c r="K174" s="238">
        <v>11.5</v>
      </c>
      <c r="L174" s="238">
        <v>19.55</v>
      </c>
      <c r="M174" s="238">
        <v>15.4</v>
      </c>
      <c r="N174" s="238">
        <v>10</v>
      </c>
      <c r="O174" s="238">
        <v>14</v>
      </c>
      <c r="P174" s="238">
        <v>14.15</v>
      </c>
      <c r="Q174" s="238">
        <v>11.75</v>
      </c>
      <c r="R174" s="238">
        <v>10</v>
      </c>
      <c r="S174" s="215">
        <v>10.8</v>
      </c>
      <c r="T174" s="216">
        <v>15</v>
      </c>
      <c r="U174" s="216">
        <v>13</v>
      </c>
      <c r="V174" s="216">
        <v>5</v>
      </c>
      <c r="W174" s="356" t="s">
        <v>687</v>
      </c>
      <c r="X174" s="356" t="s">
        <v>687</v>
      </c>
      <c r="Y174" s="356" t="s">
        <v>687</v>
      </c>
      <c r="Z174" s="356" t="s">
        <v>687</v>
      </c>
      <c r="AA174" s="356" t="s">
        <v>687</v>
      </c>
      <c r="AB174" s="356" t="s">
        <v>687</v>
      </c>
      <c r="AC174" s="356" t="s">
        <v>687</v>
      </c>
      <c r="AD174" s="236" t="s">
        <v>687</v>
      </c>
      <c r="AE174" s="236" t="s">
        <v>687</v>
      </c>
      <c r="AF174" s="215"/>
      <c r="AG174" s="333"/>
      <c r="AH174" s="213"/>
    </row>
    <row r="175" spans="1:34" ht="12.75">
      <c r="A175" s="373"/>
      <c r="B175" s="229"/>
      <c r="C175" s="237" t="s">
        <v>816</v>
      </c>
      <c r="D175" s="230">
        <v>15.1</v>
      </c>
      <c r="E175" s="230">
        <v>25.75</v>
      </c>
      <c r="F175" s="230">
        <v>22.25</v>
      </c>
      <c r="G175" s="230">
        <v>22.25</v>
      </c>
      <c r="H175" s="238">
        <v>21.25</v>
      </c>
      <c r="I175" s="238">
        <v>28.7</v>
      </c>
      <c r="J175" s="238">
        <v>23.3</v>
      </c>
      <c r="K175" s="238">
        <v>17.4</v>
      </c>
      <c r="L175" s="238">
        <v>22.5</v>
      </c>
      <c r="M175" s="238">
        <v>23.4</v>
      </c>
      <c r="N175" s="238">
        <v>19.8</v>
      </c>
      <c r="O175" s="238">
        <v>23</v>
      </c>
      <c r="P175" s="238">
        <v>25</v>
      </c>
      <c r="Q175" s="238">
        <v>15.25</v>
      </c>
      <c r="R175" s="238">
        <v>21.5</v>
      </c>
      <c r="S175" s="215">
        <v>16</v>
      </c>
      <c r="T175" s="216">
        <v>18.1</v>
      </c>
      <c r="U175" s="216">
        <v>17.45</v>
      </c>
      <c r="V175" s="216">
        <v>12</v>
      </c>
      <c r="W175" s="216">
        <v>13</v>
      </c>
      <c r="X175" s="216">
        <v>15.8</v>
      </c>
      <c r="Y175" s="216">
        <v>15</v>
      </c>
      <c r="Z175" s="216">
        <v>18.25</v>
      </c>
      <c r="AA175" s="216">
        <v>14</v>
      </c>
      <c r="AB175" s="216">
        <v>17</v>
      </c>
      <c r="AC175" s="216">
        <v>14.85</v>
      </c>
      <c r="AD175" s="216">
        <v>10.6</v>
      </c>
      <c r="AE175" s="216">
        <v>17</v>
      </c>
      <c r="AF175" s="215"/>
      <c r="AG175" s="333">
        <f>(AE175-AD175)/AD175</f>
        <v>0.6037735849056605</v>
      </c>
      <c r="AH175" s="213"/>
    </row>
    <row r="176" spans="1:34" ht="12.75">
      <c r="A176" s="373"/>
      <c r="B176" s="229"/>
      <c r="C176" s="237" t="s">
        <v>817</v>
      </c>
      <c r="D176" s="230">
        <v>14.3</v>
      </c>
      <c r="E176" s="258">
        <v>17.8</v>
      </c>
      <c r="F176" s="258">
        <v>14.3</v>
      </c>
      <c r="G176" s="258">
        <v>14.5</v>
      </c>
      <c r="H176" s="238">
        <v>11.15</v>
      </c>
      <c r="I176" s="238">
        <v>16.05</v>
      </c>
      <c r="J176" s="238">
        <v>17.25</v>
      </c>
      <c r="K176" s="238">
        <v>13.6</v>
      </c>
      <c r="L176" s="238">
        <v>12.75</v>
      </c>
      <c r="M176" s="238">
        <v>17.1</v>
      </c>
      <c r="N176" s="238">
        <v>11.4</v>
      </c>
      <c r="O176" s="238">
        <v>11</v>
      </c>
      <c r="P176" s="238">
        <v>16</v>
      </c>
      <c r="Q176" s="238">
        <v>15.2</v>
      </c>
      <c r="R176" s="238">
        <v>14.4</v>
      </c>
      <c r="S176" s="215">
        <v>17.15</v>
      </c>
      <c r="T176" s="216">
        <v>13</v>
      </c>
      <c r="U176" s="216">
        <v>23.55</v>
      </c>
      <c r="V176" s="216">
        <v>19</v>
      </c>
      <c r="W176" s="216">
        <v>20</v>
      </c>
      <c r="X176" s="216">
        <v>18.95</v>
      </c>
      <c r="Y176" s="216">
        <v>10</v>
      </c>
      <c r="Z176" s="216">
        <v>7.85</v>
      </c>
      <c r="AA176" s="216">
        <v>6.35</v>
      </c>
      <c r="AB176" s="216">
        <v>14</v>
      </c>
      <c r="AC176" s="216">
        <v>13</v>
      </c>
      <c r="AD176" s="216">
        <v>15.5</v>
      </c>
      <c r="AE176" s="216">
        <v>14</v>
      </c>
      <c r="AF176" s="215"/>
      <c r="AG176" s="333">
        <f>(AE176-AD176)/AD176</f>
        <v>-0.0967741935483871</v>
      </c>
      <c r="AH176" s="213"/>
    </row>
    <row r="177" spans="1:34" ht="12.75">
      <c r="A177" s="373"/>
      <c r="B177" s="229"/>
      <c r="C177" s="237" t="s">
        <v>818</v>
      </c>
      <c r="D177" s="230">
        <v>73.95</v>
      </c>
      <c r="E177" s="258">
        <v>52.6</v>
      </c>
      <c r="F177" s="258">
        <v>87.45</v>
      </c>
      <c r="G177" s="258">
        <v>95.2</v>
      </c>
      <c r="H177" s="238">
        <v>95</v>
      </c>
      <c r="I177" s="238">
        <v>91</v>
      </c>
      <c r="J177" s="238">
        <v>84.15</v>
      </c>
      <c r="K177" s="238">
        <v>102</v>
      </c>
      <c r="L177" s="238">
        <f>70.19+27</f>
        <v>97.19</v>
      </c>
      <c r="M177" s="238" t="s">
        <v>819</v>
      </c>
      <c r="N177" s="238" t="s">
        <v>819</v>
      </c>
      <c r="O177" s="238" t="s">
        <v>819</v>
      </c>
      <c r="P177" s="238" t="s">
        <v>819</v>
      </c>
      <c r="Q177" s="238" t="s">
        <v>819</v>
      </c>
      <c r="R177" s="238" t="s">
        <v>819</v>
      </c>
      <c r="S177" s="238" t="s">
        <v>819</v>
      </c>
      <c r="T177" s="265" t="s">
        <v>819</v>
      </c>
      <c r="U177" s="265" t="s">
        <v>819</v>
      </c>
      <c r="V177" s="265" t="s">
        <v>819</v>
      </c>
      <c r="W177" s="265" t="s">
        <v>1084</v>
      </c>
      <c r="X177" s="265" t="s">
        <v>1084</v>
      </c>
      <c r="Y177" s="265" t="s">
        <v>1084</v>
      </c>
      <c r="Z177" s="265" t="s">
        <v>1084</v>
      </c>
      <c r="AA177" s="265" t="s">
        <v>1084</v>
      </c>
      <c r="AB177" s="265" t="s">
        <v>1084</v>
      </c>
      <c r="AC177" s="265" t="s">
        <v>1084</v>
      </c>
      <c r="AD177" s="265" t="s">
        <v>1084</v>
      </c>
      <c r="AE177" s="265" t="s">
        <v>1084</v>
      </c>
      <c r="AF177" s="215"/>
      <c r="AG177" s="326"/>
      <c r="AH177" s="213"/>
    </row>
    <row r="178" spans="1:34" ht="12.75">
      <c r="A178" s="373"/>
      <c r="B178" s="229"/>
      <c r="C178" s="229" t="s">
        <v>820</v>
      </c>
      <c r="D178" s="230">
        <f>65+D177</f>
        <v>138.95</v>
      </c>
      <c r="E178" s="258">
        <f>59+E177</f>
        <v>111.6</v>
      </c>
      <c r="F178" s="258">
        <f>50.3+F177</f>
        <v>137.75</v>
      </c>
      <c r="G178" s="258">
        <f>50.5+G177</f>
        <v>145.7</v>
      </c>
      <c r="H178" s="255">
        <f>53.15+H177</f>
        <v>148.15</v>
      </c>
      <c r="I178" s="255">
        <f>55.75+I177</f>
        <v>146.75</v>
      </c>
      <c r="J178" s="255">
        <f>70.6+J177</f>
        <v>154.75</v>
      </c>
      <c r="K178" s="255">
        <f>75.38+K177</f>
        <v>177.38</v>
      </c>
      <c r="L178" s="255">
        <f>70+L177</f>
        <v>167.19</v>
      </c>
      <c r="M178" s="255">
        <f>64.1+31+80.2</f>
        <v>175.3</v>
      </c>
      <c r="N178" s="255">
        <v>179.2</v>
      </c>
      <c r="O178" s="255">
        <f>55.1+32.5+79</f>
        <v>166.6</v>
      </c>
      <c r="P178" s="255">
        <f>56.05+17+85.25</f>
        <v>158.3</v>
      </c>
      <c r="Q178" s="255">
        <f>86.6+27+50</f>
        <v>163.6</v>
      </c>
      <c r="R178" s="255">
        <f>(84.45+12+61.15)</f>
        <v>157.6</v>
      </c>
      <c r="S178" s="278">
        <v>155.3</v>
      </c>
      <c r="T178" s="291">
        <f>72.95+11.75+66.15</f>
        <v>150.85000000000002</v>
      </c>
      <c r="U178" s="291">
        <v>138.05</v>
      </c>
      <c r="V178" s="291">
        <v>121.65</v>
      </c>
      <c r="W178" s="291">
        <v>134.5</v>
      </c>
      <c r="X178" s="291">
        <v>126.05</v>
      </c>
      <c r="Y178" s="291">
        <v>133.5</v>
      </c>
      <c r="Z178" s="291">
        <v>139.8</v>
      </c>
      <c r="AA178" s="291">
        <v>141.75</v>
      </c>
      <c r="AB178" s="291">
        <v>137.5</v>
      </c>
      <c r="AC178" s="291">
        <v>141.45</v>
      </c>
      <c r="AD178" s="291">
        <v>137.8</v>
      </c>
      <c r="AE178" s="291">
        <v>157.25</v>
      </c>
      <c r="AF178" s="278"/>
      <c r="AG178" s="333">
        <f>(AE178-AD178)/AD178</f>
        <v>0.1411465892597967</v>
      </c>
      <c r="AH178" s="213"/>
    </row>
    <row r="179" spans="1:34" ht="12.75">
      <c r="A179" s="263"/>
      <c r="B179" s="283"/>
      <c r="C179" s="284"/>
      <c r="D179" s="242"/>
      <c r="E179" s="264"/>
      <c r="F179" s="264"/>
      <c r="G179" s="264"/>
      <c r="H179" s="242"/>
      <c r="I179" s="285"/>
      <c r="J179" s="285"/>
      <c r="K179" s="285"/>
      <c r="L179" s="243"/>
      <c r="M179" s="243"/>
      <c r="N179" s="243"/>
      <c r="O179" s="243"/>
      <c r="P179" s="243"/>
      <c r="Q179" s="243"/>
      <c r="R179" s="242"/>
      <c r="S179" s="243"/>
      <c r="T179" s="243"/>
      <c r="U179" s="243"/>
      <c r="V179" s="243"/>
      <c r="W179" s="243"/>
      <c r="X179" s="243"/>
      <c r="Y179" s="243"/>
      <c r="Z179" s="243"/>
      <c r="AA179" s="243"/>
      <c r="AB179" s="243"/>
      <c r="AC179" s="243"/>
      <c r="AD179" s="243"/>
      <c r="AE179" s="243"/>
      <c r="AF179" s="246">
        <f>SUM(AE171:AE178)</f>
        <v>355.04999999999995</v>
      </c>
      <c r="AG179" s="330"/>
      <c r="AH179" s="241"/>
    </row>
    <row r="180" spans="1:34" ht="12.75">
      <c r="A180" s="244" t="s">
        <v>697</v>
      </c>
      <c r="B180" s="229" t="s">
        <v>526</v>
      </c>
      <c r="C180" s="237" t="s">
        <v>821</v>
      </c>
      <c r="D180" s="230">
        <v>34.45</v>
      </c>
      <c r="E180" s="258">
        <v>39.55</v>
      </c>
      <c r="F180" s="258">
        <v>31.85</v>
      </c>
      <c r="G180" s="258">
        <v>32.25</v>
      </c>
      <c r="H180" s="238">
        <v>21.3</v>
      </c>
      <c r="I180" s="238">
        <v>21.75</v>
      </c>
      <c r="J180" s="238">
        <v>29.5</v>
      </c>
      <c r="K180" s="238">
        <v>17</v>
      </c>
      <c r="L180" s="238">
        <v>18.05</v>
      </c>
      <c r="M180" s="238">
        <v>14.55</v>
      </c>
      <c r="N180" s="238">
        <v>11.2</v>
      </c>
      <c r="O180" s="238">
        <v>11.1</v>
      </c>
      <c r="P180" s="238">
        <v>18.4</v>
      </c>
      <c r="Q180" s="238">
        <v>14.5</v>
      </c>
      <c r="R180" s="238">
        <v>16.5</v>
      </c>
      <c r="S180" s="215">
        <v>15</v>
      </c>
      <c r="T180" s="216">
        <v>11.5</v>
      </c>
      <c r="U180" s="216">
        <v>11</v>
      </c>
      <c r="V180" s="216">
        <v>12</v>
      </c>
      <c r="W180" s="216">
        <v>15</v>
      </c>
      <c r="X180" s="216">
        <v>18.2</v>
      </c>
      <c r="Y180" s="216">
        <v>14.14</v>
      </c>
      <c r="Z180" s="216">
        <v>10.75</v>
      </c>
      <c r="AA180" s="356" t="s">
        <v>687</v>
      </c>
      <c r="AB180" s="216">
        <v>15.6</v>
      </c>
      <c r="AC180" s="216">
        <v>14</v>
      </c>
      <c r="AD180" s="216">
        <v>15</v>
      </c>
      <c r="AE180" s="216">
        <v>12.5</v>
      </c>
      <c r="AF180" s="215"/>
      <c r="AG180" s="333">
        <f>(AE180-AD180)/AD180</f>
        <v>-0.16666666666666666</v>
      </c>
      <c r="AH180" s="213"/>
    </row>
    <row r="181" spans="1:34" ht="12.75">
      <c r="A181" s="262"/>
      <c r="B181" s="229"/>
      <c r="C181" s="237" t="s">
        <v>822</v>
      </c>
      <c r="D181" s="230">
        <v>15.3</v>
      </c>
      <c r="E181" s="258">
        <v>19.95</v>
      </c>
      <c r="F181" s="258">
        <v>27.85</v>
      </c>
      <c r="G181" s="258">
        <v>25.6</v>
      </c>
      <c r="H181" s="238">
        <v>27.75</v>
      </c>
      <c r="I181" s="238">
        <v>33.9</v>
      </c>
      <c r="J181" s="238">
        <v>35.9</v>
      </c>
      <c r="K181" s="238">
        <v>30</v>
      </c>
      <c r="L181" s="238">
        <v>37.6</v>
      </c>
      <c r="M181" s="238">
        <v>23.5</v>
      </c>
      <c r="N181" s="238">
        <v>28.5</v>
      </c>
      <c r="O181" s="238">
        <v>26.6</v>
      </c>
      <c r="P181" s="238">
        <v>22</v>
      </c>
      <c r="Q181" s="238">
        <v>19</v>
      </c>
      <c r="R181" s="238">
        <v>19.05</v>
      </c>
      <c r="S181" s="215">
        <v>13</v>
      </c>
      <c r="T181" s="216">
        <v>11.3</v>
      </c>
      <c r="U181" s="216">
        <v>15.75</v>
      </c>
      <c r="V181" s="216">
        <v>15.68</v>
      </c>
      <c r="W181" s="216">
        <v>15</v>
      </c>
      <c r="X181" s="216">
        <v>14.6</v>
      </c>
      <c r="Y181" s="216">
        <v>11</v>
      </c>
      <c r="Z181" s="216">
        <v>11.95</v>
      </c>
      <c r="AA181" s="216">
        <v>11</v>
      </c>
      <c r="AB181" s="216">
        <v>10</v>
      </c>
      <c r="AC181" s="216">
        <v>11</v>
      </c>
      <c r="AD181" s="216">
        <v>10</v>
      </c>
      <c r="AE181" s="216">
        <v>10.6</v>
      </c>
      <c r="AF181" s="215"/>
      <c r="AG181" s="333">
        <f>(AE181-AD181)/AD181</f>
        <v>0.05999999999999996</v>
      </c>
      <c r="AH181" s="213"/>
    </row>
    <row r="182" spans="1:34" ht="12.75">
      <c r="A182" s="262"/>
      <c r="B182" s="229"/>
      <c r="C182" s="237" t="s">
        <v>823</v>
      </c>
      <c r="D182" s="230">
        <v>32.3</v>
      </c>
      <c r="E182" s="258">
        <v>36.2</v>
      </c>
      <c r="F182" s="258">
        <v>43</v>
      </c>
      <c r="G182" s="258">
        <v>55</v>
      </c>
      <c r="H182" s="238">
        <v>53</v>
      </c>
      <c r="I182" s="238">
        <v>54.75</v>
      </c>
      <c r="J182" s="238">
        <v>49.25</v>
      </c>
      <c r="K182" s="238">
        <v>46.75</v>
      </c>
      <c r="L182" s="238">
        <v>50.5</v>
      </c>
      <c r="M182" s="238">
        <v>44</v>
      </c>
      <c r="N182" s="238">
        <v>41.9</v>
      </c>
      <c r="O182" s="238">
        <v>41</v>
      </c>
      <c r="P182" s="238">
        <v>38</v>
      </c>
      <c r="Q182" s="238">
        <v>35.8</v>
      </c>
      <c r="R182" s="238">
        <v>31.65</v>
      </c>
      <c r="S182" s="215">
        <v>33.95</v>
      </c>
      <c r="T182" s="216">
        <v>36.2</v>
      </c>
      <c r="U182" s="216">
        <v>28.2</v>
      </c>
      <c r="V182" s="216">
        <v>23.3</v>
      </c>
      <c r="W182" s="216">
        <v>18.05</v>
      </c>
      <c r="X182" s="216">
        <v>19.6</v>
      </c>
      <c r="Y182" s="216">
        <v>21.65</v>
      </c>
      <c r="Z182" s="216">
        <v>15.95</v>
      </c>
      <c r="AA182" s="216">
        <v>17.35</v>
      </c>
      <c r="AB182" s="216">
        <v>15.4</v>
      </c>
      <c r="AC182" s="216">
        <v>11.5</v>
      </c>
      <c r="AD182" s="216">
        <v>19.08</v>
      </c>
      <c r="AE182" s="216">
        <v>15.5</v>
      </c>
      <c r="AF182" s="215"/>
      <c r="AG182" s="333">
        <f>(AE182-AD182)/AD182</f>
        <v>-0.1876310272536687</v>
      </c>
      <c r="AH182" s="213"/>
    </row>
    <row r="183" spans="1:34" ht="12.75">
      <c r="A183" s="262"/>
      <c r="B183" s="229"/>
      <c r="C183" s="389" t="s">
        <v>824</v>
      </c>
      <c r="D183" s="230">
        <v>17.15</v>
      </c>
      <c r="E183" s="258">
        <v>25</v>
      </c>
      <c r="F183" s="258">
        <v>18</v>
      </c>
      <c r="G183" s="258">
        <v>25</v>
      </c>
      <c r="H183" s="238">
        <v>26</v>
      </c>
      <c r="I183" s="238">
        <v>18.55</v>
      </c>
      <c r="J183" s="238">
        <v>17</v>
      </c>
      <c r="K183" s="238">
        <v>20.85</v>
      </c>
      <c r="L183" s="238">
        <v>17.45</v>
      </c>
      <c r="M183" s="238">
        <v>22</v>
      </c>
      <c r="N183" s="238">
        <v>17.25</v>
      </c>
      <c r="O183" s="238">
        <v>12.75</v>
      </c>
      <c r="P183" s="238">
        <v>10</v>
      </c>
      <c r="Q183" s="238">
        <v>11</v>
      </c>
      <c r="R183" s="238">
        <v>13.7</v>
      </c>
      <c r="S183" s="215">
        <v>11.25</v>
      </c>
      <c r="T183" s="216">
        <v>10.5</v>
      </c>
      <c r="U183" s="216">
        <v>10</v>
      </c>
      <c r="V183" s="216">
        <v>12</v>
      </c>
      <c r="W183" s="216">
        <v>12</v>
      </c>
      <c r="X183" s="216">
        <v>10</v>
      </c>
      <c r="Y183" s="216">
        <v>10</v>
      </c>
      <c r="Z183" s="216">
        <v>14.25</v>
      </c>
      <c r="AA183" s="216">
        <v>11.65</v>
      </c>
      <c r="AB183" s="216">
        <v>10.15</v>
      </c>
      <c r="AC183" s="356" t="s">
        <v>687</v>
      </c>
      <c r="AD183" s="236" t="s">
        <v>687</v>
      </c>
      <c r="AE183" s="236" t="s">
        <v>687</v>
      </c>
      <c r="AF183" s="215"/>
      <c r="AG183" s="333"/>
      <c r="AH183" s="213"/>
    </row>
    <row r="184" spans="1:34" ht="12.75">
      <c r="A184" s="262"/>
      <c r="B184" s="229"/>
      <c r="C184" s="213" t="s">
        <v>825</v>
      </c>
      <c r="D184" s="230">
        <v>5</v>
      </c>
      <c r="E184" s="258">
        <v>6</v>
      </c>
      <c r="F184" s="258">
        <v>8</v>
      </c>
      <c r="G184" s="258">
        <v>11</v>
      </c>
      <c r="H184" s="238">
        <v>13</v>
      </c>
      <c r="I184" s="238">
        <v>14</v>
      </c>
      <c r="J184" s="238">
        <v>15</v>
      </c>
      <c r="K184" s="238">
        <v>16</v>
      </c>
      <c r="L184" s="238">
        <v>16</v>
      </c>
      <c r="M184" s="238">
        <v>13.5</v>
      </c>
      <c r="N184" s="238">
        <v>15</v>
      </c>
      <c r="O184" s="238">
        <v>14</v>
      </c>
      <c r="P184" s="238">
        <v>14.5</v>
      </c>
      <c r="Q184" s="238">
        <v>13</v>
      </c>
      <c r="R184" s="238">
        <v>15</v>
      </c>
      <c r="S184" s="215">
        <v>15.15</v>
      </c>
      <c r="T184" s="216">
        <v>16.95</v>
      </c>
      <c r="U184" s="216">
        <v>12</v>
      </c>
      <c r="V184" s="216">
        <v>13</v>
      </c>
      <c r="W184" s="216">
        <v>13</v>
      </c>
      <c r="X184" s="216">
        <v>14.35</v>
      </c>
      <c r="Y184" s="216">
        <v>11</v>
      </c>
      <c r="Z184" s="216">
        <v>18.701</v>
      </c>
      <c r="AA184" s="216">
        <v>14.5</v>
      </c>
      <c r="AB184" s="216">
        <v>14</v>
      </c>
      <c r="AC184" s="216">
        <v>18.75</v>
      </c>
      <c r="AD184" s="216">
        <v>18</v>
      </c>
      <c r="AE184" s="216">
        <v>18</v>
      </c>
      <c r="AF184" s="215"/>
      <c r="AG184" s="333">
        <f>(AE184-AD184)/AD184</f>
        <v>0</v>
      </c>
      <c r="AH184" s="213"/>
    </row>
    <row r="185" spans="1:34" ht="12.75">
      <c r="A185" s="259"/>
      <c r="B185" s="250"/>
      <c r="C185" s="251" t="s">
        <v>826</v>
      </c>
      <c r="D185" s="233">
        <v>6.35</v>
      </c>
      <c r="E185" s="260">
        <v>8.7</v>
      </c>
      <c r="F185" s="260">
        <v>12.8</v>
      </c>
      <c r="G185" s="260">
        <v>11</v>
      </c>
      <c r="H185" s="234">
        <v>14</v>
      </c>
      <c r="I185" s="234">
        <v>10</v>
      </c>
      <c r="J185" s="234">
        <v>11</v>
      </c>
      <c r="K185" s="234">
        <v>11</v>
      </c>
      <c r="L185" s="234">
        <v>13.5</v>
      </c>
      <c r="M185" s="234">
        <v>10</v>
      </c>
      <c r="N185" s="234" t="s">
        <v>687</v>
      </c>
      <c r="O185" s="234" t="s">
        <v>687</v>
      </c>
      <c r="P185" s="234" t="s">
        <v>687</v>
      </c>
      <c r="Q185" s="234" t="s">
        <v>687</v>
      </c>
      <c r="R185" s="234" t="s">
        <v>687</v>
      </c>
      <c r="S185" s="234" t="s">
        <v>687</v>
      </c>
      <c r="T185" s="306" t="s">
        <v>687</v>
      </c>
      <c r="U185" s="306" t="s">
        <v>687</v>
      </c>
      <c r="V185" s="306" t="s">
        <v>687</v>
      </c>
      <c r="W185" s="306" t="s">
        <v>687</v>
      </c>
      <c r="X185" s="306" t="s">
        <v>687</v>
      </c>
      <c r="Y185" s="356" t="s">
        <v>687</v>
      </c>
      <c r="Z185" s="356" t="s">
        <v>687</v>
      </c>
      <c r="AA185" s="356" t="s">
        <v>687</v>
      </c>
      <c r="AB185" s="356" t="s">
        <v>687</v>
      </c>
      <c r="AC185" s="356" t="s">
        <v>687</v>
      </c>
      <c r="AD185" s="236" t="s">
        <v>687</v>
      </c>
      <c r="AE185" s="236" t="s">
        <v>687</v>
      </c>
      <c r="AF185" s="235"/>
      <c r="AG185" s="329"/>
      <c r="AH185" s="232"/>
    </row>
    <row r="186" spans="1:34" ht="12.75">
      <c r="A186" s="262"/>
      <c r="B186" s="229"/>
      <c r="C186" s="237" t="s">
        <v>827</v>
      </c>
      <c r="D186" s="230">
        <v>38.85</v>
      </c>
      <c r="E186" s="258">
        <v>36.55</v>
      </c>
      <c r="F186" s="258">
        <v>40</v>
      </c>
      <c r="G186" s="258">
        <v>45.5</v>
      </c>
      <c r="H186" s="238">
        <v>48.2</v>
      </c>
      <c r="I186" s="238">
        <v>48.7</v>
      </c>
      <c r="J186" s="238">
        <v>58</v>
      </c>
      <c r="K186" s="238">
        <v>58.75</v>
      </c>
      <c r="L186" s="238">
        <v>66.75</v>
      </c>
      <c r="M186" s="238">
        <v>58.05</v>
      </c>
      <c r="N186" s="238">
        <v>55</v>
      </c>
      <c r="O186" s="238">
        <v>47</v>
      </c>
      <c r="P186" s="238">
        <v>45.05</v>
      </c>
      <c r="Q186" s="238">
        <v>39.95</v>
      </c>
      <c r="R186" s="238">
        <v>39.7</v>
      </c>
      <c r="S186" s="215">
        <v>46.25</v>
      </c>
      <c r="T186" s="216">
        <v>42.95</v>
      </c>
      <c r="U186" s="216">
        <v>44.35</v>
      </c>
      <c r="V186" s="216">
        <v>46.05</v>
      </c>
      <c r="W186" s="216">
        <v>35</v>
      </c>
      <c r="X186" s="216">
        <v>33.5</v>
      </c>
      <c r="Y186" s="216">
        <v>22.95</v>
      </c>
      <c r="Z186" s="216">
        <v>25.5</v>
      </c>
      <c r="AA186" s="216">
        <v>27.2</v>
      </c>
      <c r="AB186" s="216">
        <v>24</v>
      </c>
      <c r="AC186" s="216">
        <v>26.5</v>
      </c>
      <c r="AD186" s="216">
        <v>31.95</v>
      </c>
      <c r="AE186" s="216">
        <v>30.75</v>
      </c>
      <c r="AF186" s="215"/>
      <c r="AG186" s="333">
        <f>(AE186-AD186)/AD186</f>
        <v>-0.03755868544600937</v>
      </c>
      <c r="AH186" s="213"/>
    </row>
    <row r="187" spans="1:34" ht="12.75">
      <c r="A187" s="262"/>
      <c r="B187" s="229"/>
      <c r="C187" s="237" t="s">
        <v>936</v>
      </c>
      <c r="D187" s="230">
        <v>23</v>
      </c>
      <c r="E187" s="258">
        <v>18</v>
      </c>
      <c r="F187" s="258">
        <v>22.55</v>
      </c>
      <c r="G187" s="258">
        <v>26</v>
      </c>
      <c r="H187" s="238">
        <v>28.13</v>
      </c>
      <c r="I187" s="238">
        <v>25.25</v>
      </c>
      <c r="J187" s="238">
        <v>25</v>
      </c>
      <c r="K187" s="238">
        <v>22</v>
      </c>
      <c r="L187" s="238">
        <v>22</v>
      </c>
      <c r="M187" s="238">
        <v>22</v>
      </c>
      <c r="N187" s="238">
        <v>28.05</v>
      </c>
      <c r="O187" s="238">
        <v>18.8</v>
      </c>
      <c r="P187" s="238">
        <v>16.5</v>
      </c>
      <c r="Q187" s="238">
        <v>20.65</v>
      </c>
      <c r="R187" s="238">
        <v>19</v>
      </c>
      <c r="S187" s="215">
        <v>20.35</v>
      </c>
      <c r="T187" s="216">
        <v>19.8</v>
      </c>
      <c r="U187" s="216">
        <v>18</v>
      </c>
      <c r="V187" s="216">
        <v>26.25</v>
      </c>
      <c r="W187" s="216">
        <v>19.75</v>
      </c>
      <c r="X187" s="216">
        <v>16.75</v>
      </c>
      <c r="Y187" s="216">
        <v>22.6</v>
      </c>
      <c r="Z187" s="216">
        <v>18.6</v>
      </c>
      <c r="AA187" s="216">
        <v>17.65</v>
      </c>
      <c r="AB187" s="216">
        <v>27</v>
      </c>
      <c r="AC187" s="216">
        <v>24.85</v>
      </c>
      <c r="AD187" s="216">
        <v>22.35</v>
      </c>
      <c r="AE187" s="216">
        <v>17.049999999999997</v>
      </c>
      <c r="AF187" s="215"/>
      <c r="AG187" s="333">
        <f>(AE187-AD187)/AD187</f>
        <v>-0.23713646532438495</v>
      </c>
      <c r="AH187" s="213"/>
    </row>
    <row r="188" spans="1:34" ht="12.75">
      <c r="A188" s="262"/>
      <c r="B188" s="229"/>
      <c r="C188" s="237" t="s">
        <v>829</v>
      </c>
      <c r="D188" s="230">
        <v>73.35</v>
      </c>
      <c r="E188" s="258">
        <v>77</v>
      </c>
      <c r="F188" s="258">
        <v>78.6</v>
      </c>
      <c r="G188" s="258">
        <v>81.75</v>
      </c>
      <c r="H188" s="238">
        <v>89.8</v>
      </c>
      <c r="I188" s="238">
        <v>82.5</v>
      </c>
      <c r="J188" s="238">
        <v>96.6</v>
      </c>
      <c r="K188" s="238">
        <v>101.2</v>
      </c>
      <c r="L188" s="238">
        <v>93</v>
      </c>
      <c r="M188" s="238">
        <v>83</v>
      </c>
      <c r="N188" s="238">
        <v>68.35</v>
      </c>
      <c r="O188" s="238">
        <v>78.55</v>
      </c>
      <c r="P188" s="238">
        <v>78.05</v>
      </c>
      <c r="Q188" s="238">
        <v>72.48</v>
      </c>
      <c r="R188" s="238">
        <v>78.6</v>
      </c>
      <c r="S188" s="215">
        <v>68.45</v>
      </c>
      <c r="T188" s="216">
        <v>76.7</v>
      </c>
      <c r="U188" s="216">
        <v>71.25</v>
      </c>
      <c r="V188" s="216">
        <v>76.75</v>
      </c>
      <c r="W188" s="216">
        <v>74.07</v>
      </c>
      <c r="X188" s="216">
        <v>67.5</v>
      </c>
      <c r="Y188" s="216">
        <v>66.8</v>
      </c>
      <c r="Z188" s="216">
        <v>59.65</v>
      </c>
      <c r="AA188" s="216">
        <v>54.25</v>
      </c>
      <c r="AB188" s="216">
        <v>49.65</v>
      </c>
      <c r="AC188" s="216">
        <v>51.45</v>
      </c>
      <c r="AD188" s="216">
        <v>58.65</v>
      </c>
      <c r="AE188" s="216">
        <v>54.75</v>
      </c>
      <c r="AF188" s="215"/>
      <c r="AG188" s="333">
        <f>(AE188-AD188)/AD188</f>
        <v>-0.06649616368286443</v>
      </c>
      <c r="AH188" s="213"/>
    </row>
    <row r="189" spans="1:34" ht="12.75">
      <c r="A189" s="262"/>
      <c r="B189" s="229"/>
      <c r="C189" s="237" t="s">
        <v>830</v>
      </c>
      <c r="D189" s="230">
        <v>59</v>
      </c>
      <c r="E189" s="258">
        <v>57</v>
      </c>
      <c r="F189" s="258">
        <v>62</v>
      </c>
      <c r="G189" s="258">
        <v>61.45</v>
      </c>
      <c r="H189" s="238">
        <v>65.55</v>
      </c>
      <c r="I189" s="238">
        <v>66.65</v>
      </c>
      <c r="J189" s="238">
        <v>73.1</v>
      </c>
      <c r="K189" s="238">
        <v>75.2</v>
      </c>
      <c r="L189" s="238">
        <v>79.9</v>
      </c>
      <c r="M189" s="238">
        <v>71.7</v>
      </c>
      <c r="N189" s="238">
        <v>69.25</v>
      </c>
      <c r="O189" s="238">
        <v>64.4</v>
      </c>
      <c r="P189" s="238">
        <v>59</v>
      </c>
      <c r="Q189" s="238">
        <v>61</v>
      </c>
      <c r="R189" s="238">
        <v>51</v>
      </c>
      <c r="S189" s="215">
        <v>48.6</v>
      </c>
      <c r="T189" s="216">
        <v>51.75</v>
      </c>
      <c r="U189" s="216">
        <v>41.9</v>
      </c>
      <c r="V189" s="216">
        <v>37</v>
      </c>
      <c r="W189" s="216">
        <v>32.9</v>
      </c>
      <c r="X189" s="216">
        <v>28.75</v>
      </c>
      <c r="Y189" s="216">
        <v>33</v>
      </c>
      <c r="Z189" s="216">
        <v>38.3</v>
      </c>
      <c r="AA189" s="216">
        <v>30.6</v>
      </c>
      <c r="AB189" s="216">
        <v>25</v>
      </c>
      <c r="AC189" s="216">
        <v>35</v>
      </c>
      <c r="AD189" s="216">
        <v>26.5</v>
      </c>
      <c r="AE189" s="216">
        <v>26</v>
      </c>
      <c r="AF189" s="215"/>
      <c r="AG189" s="333">
        <f>(AE189-AD189)/AD189</f>
        <v>-0.018867924528301886</v>
      </c>
      <c r="AH189" s="213"/>
    </row>
    <row r="190" spans="1:34" ht="12.75">
      <c r="A190" s="262"/>
      <c r="B190" s="229"/>
      <c r="C190" s="237" t="s">
        <v>831</v>
      </c>
      <c r="D190" s="230">
        <v>12</v>
      </c>
      <c r="E190" s="258">
        <v>22.05</v>
      </c>
      <c r="F190" s="258">
        <v>20.75</v>
      </c>
      <c r="G190" s="258">
        <v>18.65</v>
      </c>
      <c r="H190" s="238">
        <v>9</v>
      </c>
      <c r="I190" s="238">
        <v>17</v>
      </c>
      <c r="J190" s="238">
        <v>10.25</v>
      </c>
      <c r="K190" s="238">
        <v>12</v>
      </c>
      <c r="L190" s="238">
        <v>18</v>
      </c>
      <c r="M190" s="238">
        <v>12</v>
      </c>
      <c r="N190" s="238">
        <v>14.35</v>
      </c>
      <c r="O190" s="238">
        <v>14</v>
      </c>
      <c r="P190" s="238">
        <v>12.6</v>
      </c>
      <c r="Q190" s="238">
        <v>17</v>
      </c>
      <c r="R190" s="238">
        <v>17.85</v>
      </c>
      <c r="S190" s="215">
        <v>16</v>
      </c>
      <c r="T190" s="216">
        <v>13</v>
      </c>
      <c r="U190" s="216">
        <v>13</v>
      </c>
      <c r="V190" s="216">
        <v>12</v>
      </c>
      <c r="W190" s="216">
        <v>10.95</v>
      </c>
      <c r="X190" s="216">
        <v>9</v>
      </c>
      <c r="Y190" s="356" t="s">
        <v>687</v>
      </c>
      <c r="Z190" s="356" t="s">
        <v>687</v>
      </c>
      <c r="AA190" s="356" t="s">
        <v>687</v>
      </c>
      <c r="AB190" s="356" t="s">
        <v>687</v>
      </c>
      <c r="AC190" s="356" t="s">
        <v>687</v>
      </c>
      <c r="AD190" s="236" t="s">
        <v>687</v>
      </c>
      <c r="AE190" s="236" t="s">
        <v>687</v>
      </c>
      <c r="AF190" s="215"/>
      <c r="AG190" s="333"/>
      <c r="AH190" s="213"/>
    </row>
    <row r="191" spans="1:34" ht="12.75">
      <c r="A191" s="262"/>
      <c r="B191" s="229"/>
      <c r="C191" s="237" t="s">
        <v>832</v>
      </c>
      <c r="D191" s="230">
        <v>36.95</v>
      </c>
      <c r="E191" s="258">
        <v>36.7</v>
      </c>
      <c r="F191" s="258">
        <v>33</v>
      </c>
      <c r="G191" s="258">
        <v>34</v>
      </c>
      <c r="H191" s="238">
        <v>35</v>
      </c>
      <c r="I191" s="238">
        <v>28.85</v>
      </c>
      <c r="J191" s="238">
        <v>36.85</v>
      </c>
      <c r="K191" s="238">
        <v>36.8</v>
      </c>
      <c r="L191" s="238">
        <v>39.1</v>
      </c>
      <c r="M191" s="238">
        <v>35</v>
      </c>
      <c r="N191" s="238">
        <v>28.7</v>
      </c>
      <c r="O191" s="238">
        <v>33.25</v>
      </c>
      <c r="P191" s="238">
        <v>28.75</v>
      </c>
      <c r="Q191" s="238">
        <v>39.85</v>
      </c>
      <c r="R191" s="238">
        <v>34.57</v>
      </c>
      <c r="S191" s="215">
        <v>36.1</v>
      </c>
      <c r="T191" s="216">
        <v>29.25</v>
      </c>
      <c r="U191" s="216">
        <v>28.9</v>
      </c>
      <c r="V191" s="216">
        <v>25.25</v>
      </c>
      <c r="W191" s="216">
        <v>21</v>
      </c>
      <c r="X191" s="216">
        <v>22.2</v>
      </c>
      <c r="Y191" s="216">
        <v>22.44</v>
      </c>
      <c r="Z191" s="216">
        <v>24.25</v>
      </c>
      <c r="AA191" s="216">
        <v>25.6</v>
      </c>
      <c r="AB191" s="216">
        <v>27</v>
      </c>
      <c r="AC191" s="216">
        <v>22.5</v>
      </c>
      <c r="AD191" s="216">
        <v>16</v>
      </c>
      <c r="AE191" s="216">
        <v>19</v>
      </c>
      <c r="AF191" s="215"/>
      <c r="AG191" s="333">
        <f>(AE191-AD191)/AD191</f>
        <v>0.1875</v>
      </c>
      <c r="AH191" s="213"/>
    </row>
    <row r="192" spans="1:34" ht="12.75">
      <c r="A192" s="262"/>
      <c r="B192" s="229"/>
      <c r="C192" s="237" t="s">
        <v>833</v>
      </c>
      <c r="D192" s="230">
        <v>13</v>
      </c>
      <c r="E192" s="258">
        <v>17.3</v>
      </c>
      <c r="F192" s="258">
        <v>22</v>
      </c>
      <c r="G192" s="258">
        <v>23</v>
      </c>
      <c r="H192" s="238">
        <v>25.95</v>
      </c>
      <c r="I192" s="238">
        <v>27</v>
      </c>
      <c r="J192" s="238">
        <v>25.5</v>
      </c>
      <c r="K192" s="238">
        <v>28.5</v>
      </c>
      <c r="L192" s="238">
        <v>26.85</v>
      </c>
      <c r="M192" s="238">
        <v>23.85</v>
      </c>
      <c r="N192" s="238">
        <v>22.2</v>
      </c>
      <c r="O192" s="238">
        <v>16.5</v>
      </c>
      <c r="P192" s="238">
        <v>23.7</v>
      </c>
      <c r="Q192" s="238">
        <v>20.45</v>
      </c>
      <c r="R192" s="238">
        <v>17</v>
      </c>
      <c r="S192" s="215">
        <v>12</v>
      </c>
      <c r="T192" s="216">
        <v>10.75</v>
      </c>
      <c r="U192" s="216">
        <v>18.9</v>
      </c>
      <c r="V192" s="216">
        <v>14</v>
      </c>
      <c r="W192" s="216">
        <v>11.5</v>
      </c>
      <c r="X192" s="216">
        <v>12.85</v>
      </c>
      <c r="Y192" s="216">
        <v>12.08</v>
      </c>
      <c r="Z192" s="216">
        <v>15</v>
      </c>
      <c r="AA192" s="216">
        <v>10</v>
      </c>
      <c r="AB192" s="216">
        <v>13.5</v>
      </c>
      <c r="AC192" s="216">
        <v>12</v>
      </c>
      <c r="AD192" s="216">
        <v>12</v>
      </c>
      <c r="AE192" s="216">
        <v>13</v>
      </c>
      <c r="AF192" s="215"/>
      <c r="AG192" s="333">
        <f>(AE192-AD192)/AD192</f>
        <v>0.08333333333333333</v>
      </c>
      <c r="AH192" s="213"/>
    </row>
    <row r="193" spans="1:34" ht="12.75">
      <c r="A193" s="262"/>
      <c r="B193" s="229"/>
      <c r="C193" s="237" t="s">
        <v>834</v>
      </c>
      <c r="D193" s="230">
        <v>19</v>
      </c>
      <c r="E193" s="258">
        <v>15</v>
      </c>
      <c r="F193" s="258">
        <v>11.5</v>
      </c>
      <c r="G193" s="258">
        <v>14</v>
      </c>
      <c r="H193" s="238">
        <v>24.4</v>
      </c>
      <c r="I193" s="238">
        <v>21.5</v>
      </c>
      <c r="J193" s="238">
        <v>16</v>
      </c>
      <c r="K193" s="238">
        <v>12.85</v>
      </c>
      <c r="L193" s="238">
        <v>15</v>
      </c>
      <c r="M193" s="238">
        <v>17.8</v>
      </c>
      <c r="N193" s="238">
        <v>18.93</v>
      </c>
      <c r="O193" s="238">
        <v>15.85</v>
      </c>
      <c r="P193" s="238">
        <v>16</v>
      </c>
      <c r="Q193" s="238">
        <v>19</v>
      </c>
      <c r="R193" s="238">
        <v>22.5</v>
      </c>
      <c r="S193" s="215">
        <v>25</v>
      </c>
      <c r="T193" s="216">
        <v>21.05</v>
      </c>
      <c r="U193" s="216">
        <v>29</v>
      </c>
      <c r="V193" s="216">
        <v>34</v>
      </c>
      <c r="W193" s="216">
        <v>41</v>
      </c>
      <c r="X193" s="216">
        <v>33.95</v>
      </c>
      <c r="Y193" s="216">
        <v>33</v>
      </c>
      <c r="Z193" s="216">
        <v>38.7</v>
      </c>
      <c r="AA193" s="216">
        <v>55.8</v>
      </c>
      <c r="AB193" s="216">
        <v>54.25</v>
      </c>
      <c r="AC193" s="216">
        <v>64.05</v>
      </c>
      <c r="AD193" s="216">
        <v>57.5</v>
      </c>
      <c r="AE193" s="216">
        <v>53.75</v>
      </c>
      <c r="AF193" s="215"/>
      <c r="AG193" s="333">
        <f>(AE193-AD193)/AD193</f>
        <v>-0.06521739130434782</v>
      </c>
      <c r="AH193" s="213"/>
    </row>
    <row r="194" spans="1:34" ht="12.75">
      <c r="A194" s="262"/>
      <c r="B194" s="229"/>
      <c r="C194" s="237" t="s">
        <v>835</v>
      </c>
      <c r="D194" s="230">
        <v>27.5</v>
      </c>
      <c r="E194" s="258">
        <v>31.7</v>
      </c>
      <c r="F194" s="258">
        <v>30.95</v>
      </c>
      <c r="G194" s="258">
        <v>33.2</v>
      </c>
      <c r="H194" s="238">
        <v>26.55</v>
      </c>
      <c r="I194" s="238">
        <v>27.25</v>
      </c>
      <c r="J194" s="238">
        <v>24.6</v>
      </c>
      <c r="K194" s="238">
        <v>34.05</v>
      </c>
      <c r="L194" s="238">
        <v>34.15</v>
      </c>
      <c r="M194" s="238">
        <v>30</v>
      </c>
      <c r="N194" s="238">
        <v>40</v>
      </c>
      <c r="O194" s="238">
        <v>34</v>
      </c>
      <c r="P194" s="238">
        <v>30</v>
      </c>
      <c r="Q194" s="238">
        <v>31.55</v>
      </c>
      <c r="R194" s="238">
        <v>22.45</v>
      </c>
      <c r="S194" s="215">
        <v>25.32</v>
      </c>
      <c r="T194" s="216">
        <v>26.75</v>
      </c>
      <c r="U194" s="216">
        <v>25.5</v>
      </c>
      <c r="V194" s="216">
        <v>21.4</v>
      </c>
      <c r="W194" s="216">
        <v>24</v>
      </c>
      <c r="X194" s="216">
        <v>23</v>
      </c>
      <c r="Y194" s="216">
        <v>28.28</v>
      </c>
      <c r="Z194" s="216">
        <v>26</v>
      </c>
      <c r="AA194" s="216">
        <v>20</v>
      </c>
      <c r="AB194" s="216">
        <v>19</v>
      </c>
      <c r="AC194" s="216">
        <v>17</v>
      </c>
      <c r="AD194" s="216">
        <v>15.25</v>
      </c>
      <c r="AE194" s="216">
        <v>22.25</v>
      </c>
      <c r="AF194" s="215"/>
      <c r="AG194" s="333">
        <f>(AE194-AD194)/AD194</f>
        <v>0.45901639344262296</v>
      </c>
      <c r="AH194" s="213"/>
    </row>
    <row r="195" spans="1:34" ht="12.75">
      <c r="A195" s="263"/>
      <c r="B195" s="240"/>
      <c r="C195" s="241"/>
      <c r="D195" s="242"/>
      <c r="E195" s="264"/>
      <c r="F195" s="264"/>
      <c r="G195" s="264"/>
      <c r="H195" s="243"/>
      <c r="I195" s="243"/>
      <c r="J195" s="242"/>
      <c r="K195" s="242"/>
      <c r="L195" s="243"/>
      <c r="M195" s="243"/>
      <c r="N195" s="243"/>
      <c r="O195" s="243"/>
      <c r="P195" s="243"/>
      <c r="Q195" s="243"/>
      <c r="R195" s="242"/>
      <c r="S195" s="243"/>
      <c r="T195" s="243"/>
      <c r="U195" s="243"/>
      <c r="V195" s="243"/>
      <c r="W195" s="243"/>
      <c r="X195" s="243"/>
      <c r="Y195" s="243"/>
      <c r="Z195" s="243"/>
      <c r="AA195" s="243"/>
      <c r="AB195" s="243"/>
      <c r="AC195" s="243"/>
      <c r="AD195" s="243"/>
      <c r="AE195" s="243"/>
      <c r="AF195" s="246">
        <f>SUM(AE180:AE194)</f>
        <v>293.15</v>
      </c>
      <c r="AG195" s="330"/>
      <c r="AH195" s="241"/>
    </row>
    <row r="196" spans="1:34" ht="12.75">
      <c r="A196" s="244" t="s">
        <v>685</v>
      </c>
      <c r="B196" s="229" t="s">
        <v>537</v>
      </c>
      <c r="C196" s="213" t="s">
        <v>836</v>
      </c>
      <c r="D196" s="230">
        <v>63</v>
      </c>
      <c r="E196" s="258">
        <v>69</v>
      </c>
      <c r="F196" s="258">
        <v>74</v>
      </c>
      <c r="G196" s="258">
        <v>70</v>
      </c>
      <c r="H196" s="238">
        <v>70.5</v>
      </c>
      <c r="I196" s="238">
        <v>67.8</v>
      </c>
      <c r="J196" s="238">
        <v>69</v>
      </c>
      <c r="K196" s="238">
        <v>85.65</v>
      </c>
      <c r="L196" s="238">
        <v>77</v>
      </c>
      <c r="M196" s="238" t="s">
        <v>837</v>
      </c>
      <c r="N196" s="238" t="s">
        <v>837</v>
      </c>
      <c r="O196" s="238" t="s">
        <v>837</v>
      </c>
      <c r="P196" s="238" t="s">
        <v>837</v>
      </c>
      <c r="Q196" s="238" t="s">
        <v>837</v>
      </c>
      <c r="R196" s="238" t="s">
        <v>837</v>
      </c>
      <c r="S196" s="238" t="s">
        <v>837</v>
      </c>
      <c r="T196" s="266" t="s">
        <v>837</v>
      </c>
      <c r="U196" s="266" t="s">
        <v>837</v>
      </c>
      <c r="V196" s="266" t="s">
        <v>837</v>
      </c>
      <c r="W196" s="266" t="s">
        <v>837</v>
      </c>
      <c r="X196" s="266" t="s">
        <v>538</v>
      </c>
      <c r="Y196" s="266" t="s">
        <v>538</v>
      </c>
      <c r="Z196" s="266" t="s">
        <v>538</v>
      </c>
      <c r="AA196" s="266" t="s">
        <v>538</v>
      </c>
      <c r="AB196" s="266" t="s">
        <v>538</v>
      </c>
      <c r="AC196" s="266" t="s">
        <v>538</v>
      </c>
      <c r="AD196" s="266" t="s">
        <v>538</v>
      </c>
      <c r="AE196" s="266" t="s">
        <v>538</v>
      </c>
      <c r="AF196" s="215"/>
      <c r="AG196" s="326"/>
      <c r="AH196" s="213"/>
    </row>
    <row r="197" spans="1:34" ht="12.75">
      <c r="A197" s="262"/>
      <c r="B197" s="229"/>
      <c r="C197" s="213" t="s">
        <v>838</v>
      </c>
      <c r="D197" s="230">
        <v>70.25</v>
      </c>
      <c r="E197" s="258">
        <v>69.35</v>
      </c>
      <c r="F197" s="258">
        <v>70.7</v>
      </c>
      <c r="G197" s="258">
        <v>70.6</v>
      </c>
      <c r="H197" s="238">
        <v>72.65</v>
      </c>
      <c r="I197" s="238">
        <v>77</v>
      </c>
      <c r="J197" s="238">
        <v>93</v>
      </c>
      <c r="K197" s="238">
        <v>67</v>
      </c>
      <c r="L197" s="238">
        <v>89.5</v>
      </c>
      <c r="M197" s="238" t="s">
        <v>837</v>
      </c>
      <c r="N197" s="238" t="s">
        <v>837</v>
      </c>
      <c r="O197" s="238" t="s">
        <v>837</v>
      </c>
      <c r="P197" s="238" t="s">
        <v>837</v>
      </c>
      <c r="Q197" s="238" t="s">
        <v>837</v>
      </c>
      <c r="R197" s="238" t="s">
        <v>837</v>
      </c>
      <c r="S197" s="238" t="s">
        <v>837</v>
      </c>
      <c r="T197" s="266" t="s">
        <v>837</v>
      </c>
      <c r="U197" s="266" t="s">
        <v>837</v>
      </c>
      <c r="V197" s="266" t="s">
        <v>837</v>
      </c>
      <c r="W197" s="266" t="s">
        <v>837</v>
      </c>
      <c r="X197" s="266" t="s">
        <v>538</v>
      </c>
      <c r="Y197" s="266" t="s">
        <v>538</v>
      </c>
      <c r="Z197" s="266" t="s">
        <v>538</v>
      </c>
      <c r="AA197" s="266" t="s">
        <v>538</v>
      </c>
      <c r="AB197" s="266" t="s">
        <v>538</v>
      </c>
      <c r="AC197" s="266" t="s">
        <v>538</v>
      </c>
      <c r="AD197" s="266" t="s">
        <v>538</v>
      </c>
      <c r="AE197" s="266" t="s">
        <v>538</v>
      </c>
      <c r="AF197" s="215"/>
      <c r="AG197" s="326"/>
      <c r="AH197" s="213"/>
    </row>
    <row r="198" spans="1:34" ht="12.75">
      <c r="A198" s="262"/>
      <c r="B198" s="229"/>
      <c r="C198" s="213" t="s">
        <v>839</v>
      </c>
      <c r="D198" s="230">
        <v>80.75</v>
      </c>
      <c r="E198" s="258">
        <v>81.3</v>
      </c>
      <c r="F198" s="258">
        <v>80.4</v>
      </c>
      <c r="G198" s="258">
        <v>76.5</v>
      </c>
      <c r="H198" s="238">
        <v>76.5</v>
      </c>
      <c r="I198" s="238">
        <v>72.25</v>
      </c>
      <c r="J198" s="238">
        <v>84.35</v>
      </c>
      <c r="K198" s="238">
        <v>78.05</v>
      </c>
      <c r="L198" s="238">
        <v>84.45</v>
      </c>
      <c r="M198" s="238">
        <v>88.7</v>
      </c>
      <c r="N198" s="238">
        <v>86.35</v>
      </c>
      <c r="O198" s="238">
        <v>74.1</v>
      </c>
      <c r="P198" s="238">
        <v>78.3</v>
      </c>
      <c r="Q198" s="238">
        <v>76.05</v>
      </c>
      <c r="R198" s="238">
        <v>82.4</v>
      </c>
      <c r="S198" s="215">
        <v>91.4</v>
      </c>
      <c r="T198" s="216">
        <v>90.6</v>
      </c>
      <c r="U198" s="216">
        <v>88.5</v>
      </c>
      <c r="V198" s="216">
        <v>92.6</v>
      </c>
      <c r="W198" s="216">
        <v>96</v>
      </c>
      <c r="X198" s="216">
        <v>98.35</v>
      </c>
      <c r="Y198" s="216">
        <v>106.1</v>
      </c>
      <c r="Z198" s="216">
        <v>108.25</v>
      </c>
      <c r="AA198" s="216">
        <v>105.3</v>
      </c>
      <c r="AB198" s="216">
        <v>100.5</v>
      </c>
      <c r="AC198" s="216">
        <v>109.85</v>
      </c>
      <c r="AD198" s="216">
        <v>109.35</v>
      </c>
      <c r="AE198" s="216">
        <v>107.95</v>
      </c>
      <c r="AF198" s="215"/>
      <c r="AG198" s="333">
        <f aca="true" t="shared" si="6" ref="AG198:AG219">(AE198-AD198)/AD198</f>
        <v>-0.01280292638317322</v>
      </c>
      <c r="AH198" s="213"/>
    </row>
    <row r="199" spans="1:34" ht="12.75">
      <c r="A199" s="262"/>
      <c r="B199" s="229"/>
      <c r="C199" s="229" t="s">
        <v>840</v>
      </c>
      <c r="D199" s="230">
        <v>999.9</v>
      </c>
      <c r="E199" s="258">
        <v>1014.8</v>
      </c>
      <c r="F199" s="258">
        <v>1079.25</v>
      </c>
      <c r="G199" s="258">
        <v>1125</v>
      </c>
      <c r="H199" s="238">
        <v>1124.1</v>
      </c>
      <c r="I199" s="238">
        <v>1227.6</v>
      </c>
      <c r="J199" s="238">
        <v>1245.4</v>
      </c>
      <c r="K199" s="238">
        <f>813.65+468.95</f>
        <v>1282.6</v>
      </c>
      <c r="L199" s="238">
        <f>504.2+351.1+447.05</f>
        <v>1302.35</v>
      </c>
      <c r="M199" s="238">
        <f>229+417.2+455.5+148.45</f>
        <v>1250.15</v>
      </c>
      <c r="N199" s="238">
        <f>457.55+245.78+370.9+175.2</f>
        <v>1249.43</v>
      </c>
      <c r="O199" s="238">
        <f>472.3+339.75+254.33+185.65</f>
        <v>1252.03</v>
      </c>
      <c r="P199" s="238">
        <v>1272.02</v>
      </c>
      <c r="Q199" s="248">
        <v>1344.75</v>
      </c>
      <c r="R199" s="248">
        <v>1344.18</v>
      </c>
      <c r="S199" s="215">
        <v>1298.3</v>
      </c>
      <c r="T199" s="216">
        <f>499.25+325.25+311.8+142.6+34.8+18</f>
        <v>1331.6999999999998</v>
      </c>
      <c r="U199" s="216">
        <v>1256.35</v>
      </c>
      <c r="V199" s="216">
        <v>1239.05</v>
      </c>
      <c r="W199" s="216">
        <v>1247.2</v>
      </c>
      <c r="X199" s="216">
        <v>1220.2</v>
      </c>
      <c r="Y199" s="216">
        <v>1234.8</v>
      </c>
      <c r="Z199" s="216">
        <v>1258.75</v>
      </c>
      <c r="AA199" s="216">
        <v>1284.35</v>
      </c>
      <c r="AB199" s="216">
        <v>1234.4</v>
      </c>
      <c r="AC199" s="216">
        <v>1225.1</v>
      </c>
      <c r="AD199" s="216">
        <v>1218.7</v>
      </c>
      <c r="AE199" s="216">
        <v>1235.3</v>
      </c>
      <c r="AF199" s="215"/>
      <c r="AG199" s="333">
        <f t="shared" si="6"/>
        <v>0.013621071633707975</v>
      </c>
      <c r="AH199" s="213"/>
    </row>
    <row r="200" spans="1:34" ht="12.75">
      <c r="A200" s="262"/>
      <c r="B200" s="229"/>
      <c r="C200" s="213" t="s">
        <v>841</v>
      </c>
      <c r="D200" s="230">
        <v>85.8</v>
      </c>
      <c r="E200" s="258">
        <v>94</v>
      </c>
      <c r="F200" s="258">
        <v>93.7</v>
      </c>
      <c r="G200" s="258">
        <v>98.28</v>
      </c>
      <c r="H200" s="238">
        <v>110.5</v>
      </c>
      <c r="I200" s="238">
        <v>125.6</v>
      </c>
      <c r="J200" s="238">
        <v>130</v>
      </c>
      <c r="K200" s="238">
        <v>123.9</v>
      </c>
      <c r="L200" s="255">
        <v>135.95</v>
      </c>
      <c r="M200" s="255">
        <v>133.95</v>
      </c>
      <c r="N200" s="255">
        <v>133.75</v>
      </c>
      <c r="O200" s="255">
        <v>127.15</v>
      </c>
      <c r="P200" s="255">
        <v>147.1</v>
      </c>
      <c r="Q200" s="255">
        <v>148.05</v>
      </c>
      <c r="R200" s="255">
        <v>156</v>
      </c>
      <c r="S200" s="215">
        <v>163.1</v>
      </c>
      <c r="T200" s="216">
        <v>164.25</v>
      </c>
      <c r="U200" s="216">
        <v>165.75</v>
      </c>
      <c r="V200" s="216">
        <v>155</v>
      </c>
      <c r="W200" s="216">
        <v>176</v>
      </c>
      <c r="X200" s="216">
        <v>163.2</v>
      </c>
      <c r="Y200" s="216">
        <v>170</v>
      </c>
      <c r="Z200" s="216">
        <v>156.85</v>
      </c>
      <c r="AA200" s="216">
        <v>151.95</v>
      </c>
      <c r="AB200" s="216">
        <v>146.8</v>
      </c>
      <c r="AC200" s="216">
        <v>152.8</v>
      </c>
      <c r="AD200" s="216">
        <v>145.2</v>
      </c>
      <c r="AE200" s="216">
        <v>146.7</v>
      </c>
      <c r="AF200" s="215"/>
      <c r="AG200" s="333">
        <f t="shared" si="6"/>
        <v>0.010330578512396695</v>
      </c>
      <c r="AH200" s="213"/>
    </row>
    <row r="201" spans="1:34" ht="12.75">
      <c r="A201" s="262"/>
      <c r="B201" s="229"/>
      <c r="C201" s="213" t="s">
        <v>842</v>
      </c>
      <c r="D201" s="230">
        <v>60.75</v>
      </c>
      <c r="E201" s="258">
        <v>68.2</v>
      </c>
      <c r="F201" s="258">
        <v>65.65</v>
      </c>
      <c r="G201" s="258">
        <v>57.5</v>
      </c>
      <c r="H201" s="238">
        <v>59.05</v>
      </c>
      <c r="I201" s="238">
        <v>72.15</v>
      </c>
      <c r="J201" s="238">
        <v>78.45</v>
      </c>
      <c r="K201" s="238">
        <v>83.95</v>
      </c>
      <c r="L201" s="238">
        <v>76.2</v>
      </c>
      <c r="M201" s="238">
        <v>85.25</v>
      </c>
      <c r="N201" s="238">
        <v>85.8</v>
      </c>
      <c r="O201" s="238">
        <v>81.4</v>
      </c>
      <c r="P201" s="238">
        <v>76</v>
      </c>
      <c r="Q201" s="238">
        <v>88.05</v>
      </c>
      <c r="R201" s="238">
        <v>86.5</v>
      </c>
      <c r="S201" s="215">
        <v>84.2</v>
      </c>
      <c r="T201" s="216">
        <v>88.7</v>
      </c>
      <c r="U201" s="216">
        <v>88.5</v>
      </c>
      <c r="V201" s="216">
        <v>88</v>
      </c>
      <c r="W201" s="216">
        <v>86</v>
      </c>
      <c r="X201" s="216">
        <v>87.45</v>
      </c>
      <c r="Y201" s="216">
        <v>87.5</v>
      </c>
      <c r="Z201" s="216">
        <v>103.6</v>
      </c>
      <c r="AA201" s="216">
        <v>101.3</v>
      </c>
      <c r="AB201" s="216">
        <v>109.05</v>
      </c>
      <c r="AC201" s="216">
        <v>101.7</v>
      </c>
      <c r="AD201" s="216">
        <v>104.5</v>
      </c>
      <c r="AE201" s="216">
        <v>109.5</v>
      </c>
      <c r="AF201" s="215"/>
      <c r="AG201" s="333">
        <f t="shared" si="6"/>
        <v>0.04784688995215311</v>
      </c>
      <c r="AH201" s="213"/>
    </row>
    <row r="202" spans="1:34" ht="12.75">
      <c r="A202" s="262"/>
      <c r="B202" s="229"/>
      <c r="C202" s="213" t="s">
        <v>843</v>
      </c>
      <c r="D202" s="230">
        <v>49.1</v>
      </c>
      <c r="E202" s="258">
        <v>51.95</v>
      </c>
      <c r="F202" s="258">
        <v>51.45</v>
      </c>
      <c r="G202" s="258">
        <v>61.4</v>
      </c>
      <c r="H202" s="238">
        <v>66.7</v>
      </c>
      <c r="I202" s="238">
        <v>65.55</v>
      </c>
      <c r="J202" s="238">
        <v>82.6</v>
      </c>
      <c r="K202" s="238">
        <v>83.45</v>
      </c>
      <c r="L202" s="238">
        <v>79.7</v>
      </c>
      <c r="M202" s="238">
        <v>70.4</v>
      </c>
      <c r="N202" s="238">
        <v>68.2</v>
      </c>
      <c r="O202" s="238">
        <v>70.55</v>
      </c>
      <c r="P202" s="238">
        <v>63.5</v>
      </c>
      <c r="Q202" s="238">
        <v>57.5</v>
      </c>
      <c r="R202" s="238">
        <v>66.85</v>
      </c>
      <c r="S202" s="215">
        <v>69</v>
      </c>
      <c r="T202" s="216">
        <v>61.5</v>
      </c>
      <c r="U202" s="216">
        <v>50.6</v>
      </c>
      <c r="V202" s="216">
        <v>63.5</v>
      </c>
      <c r="W202" s="216">
        <v>53</v>
      </c>
      <c r="X202" s="216">
        <v>57.15</v>
      </c>
      <c r="Y202" s="216">
        <v>47</v>
      </c>
      <c r="Z202" s="216">
        <v>52.7</v>
      </c>
      <c r="AA202" s="216">
        <v>53.75</v>
      </c>
      <c r="AB202" s="216">
        <v>56.65</v>
      </c>
      <c r="AC202" s="216">
        <v>51.95</v>
      </c>
      <c r="AD202" s="216">
        <v>53.1</v>
      </c>
      <c r="AE202" s="216">
        <v>60.95</v>
      </c>
      <c r="AF202" s="215"/>
      <c r="AG202" s="333">
        <f t="shared" si="6"/>
        <v>0.14783427495291904</v>
      </c>
      <c r="AH202" s="213"/>
    </row>
    <row r="203" spans="1:34" ht="12.75">
      <c r="A203" s="262"/>
      <c r="B203" s="229"/>
      <c r="C203" s="213" t="s">
        <v>844</v>
      </c>
      <c r="D203" s="238">
        <f aca="true" t="shared" si="7" ref="D203:L203">D197+D196</f>
        <v>133.25</v>
      </c>
      <c r="E203" s="238">
        <f t="shared" si="7"/>
        <v>138.35</v>
      </c>
      <c r="F203" s="238">
        <f t="shared" si="7"/>
        <v>144.7</v>
      </c>
      <c r="G203" s="238">
        <f t="shared" si="7"/>
        <v>140.6</v>
      </c>
      <c r="H203" s="238">
        <f t="shared" si="7"/>
        <v>143.15</v>
      </c>
      <c r="I203" s="238">
        <f t="shared" si="7"/>
        <v>144.8</v>
      </c>
      <c r="J203" s="238">
        <f t="shared" si="7"/>
        <v>162</v>
      </c>
      <c r="K203" s="238">
        <f t="shared" si="7"/>
        <v>152.65</v>
      </c>
      <c r="L203" s="238">
        <f t="shared" si="7"/>
        <v>166.5</v>
      </c>
      <c r="M203" s="238">
        <f>65.8+99.75</f>
        <v>165.55</v>
      </c>
      <c r="N203" s="238">
        <f>69.2+103.6</f>
        <v>172.8</v>
      </c>
      <c r="O203" s="238">
        <f>66+89.65</f>
        <v>155.65</v>
      </c>
      <c r="P203" s="238">
        <f>69.95+96.95</f>
        <v>166.9</v>
      </c>
      <c r="Q203" s="238">
        <f>60.5+96</f>
        <v>156.5</v>
      </c>
      <c r="R203" s="238">
        <f>(57+89.8)</f>
        <v>146.8</v>
      </c>
      <c r="S203" s="215">
        <v>151.95</v>
      </c>
      <c r="T203" s="216">
        <f>69.3+87</f>
        <v>156.3</v>
      </c>
      <c r="U203" s="216">
        <v>180.8</v>
      </c>
      <c r="V203" s="216">
        <v>185.05</v>
      </c>
      <c r="W203" s="216">
        <v>182</v>
      </c>
      <c r="X203" s="216">
        <v>186.7</v>
      </c>
      <c r="Y203" s="216">
        <v>190.1</v>
      </c>
      <c r="Z203" s="216">
        <v>190.9</v>
      </c>
      <c r="AA203" s="216">
        <v>194.15</v>
      </c>
      <c r="AB203" s="216">
        <v>192.5</v>
      </c>
      <c r="AC203" s="216">
        <v>186.25</v>
      </c>
      <c r="AD203" s="216">
        <v>199.15</v>
      </c>
      <c r="AE203" s="216">
        <v>212.5</v>
      </c>
      <c r="AF203" s="215"/>
      <c r="AG203" s="333">
        <f t="shared" si="6"/>
        <v>0.06703489831785084</v>
      </c>
      <c r="AH203" s="213"/>
    </row>
    <row r="204" spans="1:34" ht="12.75">
      <c r="A204" s="262"/>
      <c r="B204" s="229"/>
      <c r="C204" s="213" t="s">
        <v>845</v>
      </c>
      <c r="D204" s="230">
        <v>130</v>
      </c>
      <c r="E204" s="258">
        <v>136.65</v>
      </c>
      <c r="F204" s="258">
        <v>147.2</v>
      </c>
      <c r="G204" s="258">
        <v>154.3</v>
      </c>
      <c r="H204" s="238">
        <v>163.9</v>
      </c>
      <c r="I204" s="238">
        <v>177.05</v>
      </c>
      <c r="J204" s="238">
        <v>180.8</v>
      </c>
      <c r="K204" s="238">
        <v>192.2</v>
      </c>
      <c r="L204" s="238">
        <v>188.4</v>
      </c>
      <c r="M204" s="238">
        <v>197.1</v>
      </c>
      <c r="N204" s="238">
        <v>203.6</v>
      </c>
      <c r="O204" s="238">
        <v>214.4</v>
      </c>
      <c r="P204" s="238">
        <v>216</v>
      </c>
      <c r="Q204" s="238">
        <v>228.15</v>
      </c>
      <c r="R204" s="238">
        <v>206.35</v>
      </c>
      <c r="S204" s="215">
        <v>211.35</v>
      </c>
      <c r="T204" s="216">
        <v>201.05</v>
      </c>
      <c r="U204" s="216">
        <v>209.15</v>
      </c>
      <c r="V204" s="216">
        <v>208.5</v>
      </c>
      <c r="W204" s="216">
        <v>188.45</v>
      </c>
      <c r="X204" s="216">
        <v>207.7</v>
      </c>
      <c r="Y204" s="216">
        <v>202.5</v>
      </c>
      <c r="Z204" s="216">
        <v>192.15</v>
      </c>
      <c r="AA204" s="216">
        <v>211.5</v>
      </c>
      <c r="AB204" s="216">
        <v>225.65</v>
      </c>
      <c r="AC204" s="216">
        <v>214.05</v>
      </c>
      <c r="AD204" s="216">
        <v>210.45</v>
      </c>
      <c r="AE204" s="216">
        <v>217.2</v>
      </c>
      <c r="AF204" s="215"/>
      <c r="AG204" s="333">
        <f t="shared" si="6"/>
        <v>0.03207412687099074</v>
      </c>
      <c r="AH204" s="213"/>
    </row>
    <row r="205" spans="1:34" ht="12.75">
      <c r="A205" s="262"/>
      <c r="B205" s="229"/>
      <c r="C205" s="213" t="s">
        <v>846</v>
      </c>
      <c r="D205" s="230">
        <v>79.5</v>
      </c>
      <c r="E205" s="258">
        <v>89.09</v>
      </c>
      <c r="F205" s="258">
        <v>89.25</v>
      </c>
      <c r="G205" s="258">
        <v>88.6</v>
      </c>
      <c r="H205" s="238">
        <v>91.45</v>
      </c>
      <c r="I205" s="238">
        <v>105.25</v>
      </c>
      <c r="J205" s="238">
        <v>107.9</v>
      </c>
      <c r="K205" s="238">
        <v>117.5</v>
      </c>
      <c r="L205" s="238">
        <v>115.05</v>
      </c>
      <c r="M205" s="238">
        <v>119.25</v>
      </c>
      <c r="N205" s="238">
        <v>109.5</v>
      </c>
      <c r="O205" s="238">
        <v>115.25</v>
      </c>
      <c r="P205" s="238">
        <v>112.55</v>
      </c>
      <c r="Q205" s="238">
        <v>117.9</v>
      </c>
      <c r="R205" s="238">
        <v>122</v>
      </c>
      <c r="S205" s="215">
        <v>124.9</v>
      </c>
      <c r="T205" s="216">
        <v>125.55</v>
      </c>
      <c r="U205" s="216">
        <v>122.55</v>
      </c>
      <c r="V205" s="216">
        <v>140.25</v>
      </c>
      <c r="W205" s="216">
        <v>143.5</v>
      </c>
      <c r="X205" s="216">
        <v>142.55</v>
      </c>
      <c r="Y205" s="216">
        <v>133.55</v>
      </c>
      <c r="Z205" s="216">
        <v>132.42</v>
      </c>
      <c r="AA205" s="216">
        <v>165.05</v>
      </c>
      <c r="AB205" s="216">
        <v>169.05</v>
      </c>
      <c r="AC205" s="216">
        <v>174.85</v>
      </c>
      <c r="AD205" s="216">
        <v>174.1</v>
      </c>
      <c r="AE205" s="216">
        <v>170.75</v>
      </c>
      <c r="AF205" s="215"/>
      <c r="AG205" s="333">
        <f t="shared" si="6"/>
        <v>-0.019241815048822483</v>
      </c>
      <c r="AH205" s="213"/>
    </row>
    <row r="206" spans="1:34" ht="12.75">
      <c r="A206" s="262"/>
      <c r="B206" s="229"/>
      <c r="C206" s="213" t="s">
        <v>847</v>
      </c>
      <c r="D206" s="230">
        <v>165.8</v>
      </c>
      <c r="E206" s="258">
        <v>166</v>
      </c>
      <c r="F206" s="258">
        <v>159.25</v>
      </c>
      <c r="G206" s="258">
        <v>160.4</v>
      </c>
      <c r="H206" s="255">
        <v>181.2</v>
      </c>
      <c r="I206" s="255">
        <v>185.35</v>
      </c>
      <c r="J206" s="255">
        <v>203.6</v>
      </c>
      <c r="K206" s="255">
        <v>183.05</v>
      </c>
      <c r="L206" s="238">
        <v>200.6</v>
      </c>
      <c r="M206" s="238">
        <v>219.4</v>
      </c>
      <c r="N206" s="238">
        <v>213.7</v>
      </c>
      <c r="O206" s="238">
        <v>216.95</v>
      </c>
      <c r="P206" s="238">
        <v>220.5</v>
      </c>
      <c r="Q206" s="238">
        <v>219.05</v>
      </c>
      <c r="R206" s="238">
        <v>236.9</v>
      </c>
      <c r="S206" s="278">
        <v>233.95</v>
      </c>
      <c r="T206" s="291">
        <v>246.6</v>
      </c>
      <c r="U206" s="291">
        <v>252.1</v>
      </c>
      <c r="V206" s="291">
        <v>249.75</v>
      </c>
      <c r="W206" s="291">
        <v>246.4</v>
      </c>
      <c r="X206" s="291">
        <v>243.9</v>
      </c>
      <c r="Y206" s="291">
        <v>231.05</v>
      </c>
      <c r="Z206" s="291">
        <v>237.3</v>
      </c>
      <c r="AA206" s="291">
        <v>254.95</v>
      </c>
      <c r="AB206" s="291">
        <v>244.1</v>
      </c>
      <c r="AC206" s="291">
        <v>252.5</v>
      </c>
      <c r="AD206" s="291">
        <v>264.75</v>
      </c>
      <c r="AE206" s="291">
        <v>261.6</v>
      </c>
      <c r="AF206" s="278"/>
      <c r="AG206" s="333">
        <f t="shared" si="6"/>
        <v>-0.011898016997167053</v>
      </c>
      <c r="AH206" s="213"/>
    </row>
    <row r="207" spans="1:34" ht="12.75">
      <c r="A207" s="262"/>
      <c r="B207" s="280"/>
      <c r="C207" s="213" t="s">
        <v>848</v>
      </c>
      <c r="D207" s="230">
        <v>60.9</v>
      </c>
      <c r="E207" s="258">
        <v>59.05</v>
      </c>
      <c r="F207" s="258">
        <v>70.5</v>
      </c>
      <c r="G207" s="258">
        <v>82.25</v>
      </c>
      <c r="H207" s="238">
        <v>91</v>
      </c>
      <c r="I207" s="238">
        <v>95.25</v>
      </c>
      <c r="J207" s="238">
        <v>94.2</v>
      </c>
      <c r="K207" s="238">
        <v>95.25</v>
      </c>
      <c r="L207" s="238">
        <v>98.2</v>
      </c>
      <c r="M207" s="238">
        <v>104.55</v>
      </c>
      <c r="N207" s="238">
        <v>108.75</v>
      </c>
      <c r="O207" s="238">
        <v>112.45</v>
      </c>
      <c r="P207" s="238">
        <v>110.5</v>
      </c>
      <c r="Q207" s="238">
        <v>102.45</v>
      </c>
      <c r="R207" s="238">
        <v>105.5</v>
      </c>
      <c r="S207" s="215">
        <v>116.6</v>
      </c>
      <c r="T207" s="216">
        <v>117.7</v>
      </c>
      <c r="U207" s="216">
        <v>103</v>
      </c>
      <c r="V207" s="216">
        <v>114.1</v>
      </c>
      <c r="W207" s="216">
        <v>114</v>
      </c>
      <c r="X207" s="216">
        <v>109.85</v>
      </c>
      <c r="Y207" s="216">
        <v>114.05</v>
      </c>
      <c r="Z207" s="216">
        <v>109.3</v>
      </c>
      <c r="AA207" s="216">
        <v>114.65</v>
      </c>
      <c r="AB207" s="216">
        <v>121.05</v>
      </c>
      <c r="AC207" s="216">
        <v>122.5</v>
      </c>
      <c r="AD207" s="216">
        <v>118.7</v>
      </c>
      <c r="AE207" s="216">
        <v>118.5</v>
      </c>
      <c r="AF207" s="215"/>
      <c r="AG207" s="333">
        <f t="shared" si="6"/>
        <v>-0.0016849199663016247</v>
      </c>
      <c r="AH207" s="213"/>
    </row>
    <row r="208" spans="1:34" ht="12.75">
      <c r="A208" s="262"/>
      <c r="B208" s="280"/>
      <c r="C208" s="213" t="s">
        <v>849</v>
      </c>
      <c r="D208" s="230">
        <v>54</v>
      </c>
      <c r="E208" s="258">
        <v>46.35</v>
      </c>
      <c r="F208" s="258">
        <v>45.4</v>
      </c>
      <c r="G208" s="258">
        <v>38.85</v>
      </c>
      <c r="H208" s="238">
        <v>42.05</v>
      </c>
      <c r="I208" s="238">
        <v>51.1</v>
      </c>
      <c r="J208" s="238">
        <v>50</v>
      </c>
      <c r="K208" s="238">
        <v>52.25</v>
      </c>
      <c r="L208" s="238">
        <v>51.6</v>
      </c>
      <c r="M208" s="238">
        <v>55.7</v>
      </c>
      <c r="N208" s="238">
        <v>56.1</v>
      </c>
      <c r="O208" s="238">
        <v>44.75</v>
      </c>
      <c r="P208" s="238">
        <v>40</v>
      </c>
      <c r="Q208" s="238">
        <v>39.3</v>
      </c>
      <c r="R208" s="238">
        <v>46.85</v>
      </c>
      <c r="S208" s="215">
        <v>49.35</v>
      </c>
      <c r="T208" s="216">
        <v>37.6</v>
      </c>
      <c r="U208" s="216">
        <v>34.75</v>
      </c>
      <c r="V208" s="216">
        <v>30.6</v>
      </c>
      <c r="W208" s="216">
        <v>39</v>
      </c>
      <c r="X208" s="216">
        <v>29.95</v>
      </c>
      <c r="Y208" s="216">
        <v>33.1</v>
      </c>
      <c r="Z208" s="216">
        <v>31.3</v>
      </c>
      <c r="AA208" s="216">
        <v>35.95</v>
      </c>
      <c r="AB208" s="216">
        <v>36.3</v>
      </c>
      <c r="AC208" s="216">
        <v>42.8</v>
      </c>
      <c r="AD208" s="216">
        <v>46.45</v>
      </c>
      <c r="AE208" s="216">
        <v>44</v>
      </c>
      <c r="AF208" s="215"/>
      <c r="AG208" s="333">
        <f t="shared" si="6"/>
        <v>-0.05274488697524225</v>
      </c>
      <c r="AH208" s="213"/>
    </row>
    <row r="209" spans="1:34" ht="12.75">
      <c r="A209" s="262"/>
      <c r="B209" s="280"/>
      <c r="C209" s="213" t="s">
        <v>850</v>
      </c>
      <c r="D209" s="230">
        <v>80.25</v>
      </c>
      <c r="E209" s="258">
        <v>83.9</v>
      </c>
      <c r="F209" s="258">
        <v>92.15</v>
      </c>
      <c r="G209" s="258">
        <v>76</v>
      </c>
      <c r="H209" s="238">
        <v>88.7</v>
      </c>
      <c r="I209" s="238">
        <v>104.75</v>
      </c>
      <c r="J209" s="238">
        <v>97.2</v>
      </c>
      <c r="K209" s="238">
        <v>107.85</v>
      </c>
      <c r="L209" s="238">
        <v>93.5</v>
      </c>
      <c r="M209" s="238">
        <v>103.45</v>
      </c>
      <c r="N209" s="238">
        <v>96.4</v>
      </c>
      <c r="O209" s="238">
        <v>94.25</v>
      </c>
      <c r="P209" s="238">
        <v>103.45</v>
      </c>
      <c r="Q209" s="238">
        <v>110.95</v>
      </c>
      <c r="R209" s="238">
        <v>104.75</v>
      </c>
      <c r="S209" s="215">
        <v>114.2</v>
      </c>
      <c r="T209" s="216">
        <v>119.65</v>
      </c>
      <c r="U209" s="216">
        <v>88.3</v>
      </c>
      <c r="V209" s="216">
        <v>84.35</v>
      </c>
      <c r="W209" s="216">
        <v>91.45</v>
      </c>
      <c r="X209" s="216">
        <v>102.75</v>
      </c>
      <c r="Y209" s="216">
        <v>87.75</v>
      </c>
      <c r="Z209" s="216">
        <v>74.35</v>
      </c>
      <c r="AA209" s="216">
        <v>84.5</v>
      </c>
      <c r="AB209" s="216">
        <v>95.95</v>
      </c>
      <c r="AC209" s="216">
        <v>93.05</v>
      </c>
      <c r="AD209" s="216">
        <v>79.75</v>
      </c>
      <c r="AE209" s="216">
        <v>85.1</v>
      </c>
      <c r="AF209" s="215"/>
      <c r="AG209" s="333">
        <f t="shared" si="6"/>
        <v>0.06708463949843253</v>
      </c>
      <c r="AH209" s="213"/>
    </row>
    <row r="210" spans="1:34" ht="12.75">
      <c r="A210" s="262"/>
      <c r="B210" s="280"/>
      <c r="C210" s="237" t="s">
        <v>851</v>
      </c>
      <c r="D210" s="230">
        <v>96.05</v>
      </c>
      <c r="E210" s="258">
        <v>89.3</v>
      </c>
      <c r="F210" s="258">
        <v>85.65</v>
      </c>
      <c r="G210" s="258">
        <v>92</v>
      </c>
      <c r="H210" s="238">
        <v>98.25</v>
      </c>
      <c r="I210" s="238">
        <v>103</v>
      </c>
      <c r="J210" s="238">
        <v>113</v>
      </c>
      <c r="K210" s="238">
        <v>118.75</v>
      </c>
      <c r="L210" s="238">
        <v>113.95</v>
      </c>
      <c r="M210" s="238">
        <v>121</v>
      </c>
      <c r="N210" s="238">
        <v>127.4</v>
      </c>
      <c r="O210" s="238">
        <v>133.15</v>
      </c>
      <c r="P210" s="238">
        <v>124</v>
      </c>
      <c r="Q210" s="238">
        <v>127.55</v>
      </c>
      <c r="R210" s="238">
        <v>141.6</v>
      </c>
      <c r="S210" s="215">
        <v>143.8</v>
      </c>
      <c r="T210" s="216">
        <v>152.9</v>
      </c>
      <c r="U210" s="216">
        <v>147.25</v>
      </c>
      <c r="V210" s="216">
        <v>161.1</v>
      </c>
      <c r="W210" s="216">
        <v>157.15</v>
      </c>
      <c r="X210" s="216">
        <v>151.5</v>
      </c>
      <c r="Y210" s="216">
        <v>147.4</v>
      </c>
      <c r="Z210" s="216">
        <v>154</v>
      </c>
      <c r="AA210" s="216">
        <v>151.05</v>
      </c>
      <c r="AB210" s="216">
        <v>155.4</v>
      </c>
      <c r="AC210" s="216">
        <v>157.3</v>
      </c>
      <c r="AD210" s="216">
        <v>157.85</v>
      </c>
      <c r="AE210" s="216">
        <v>153.95</v>
      </c>
      <c r="AF210" s="215"/>
      <c r="AG210" s="333">
        <f t="shared" si="6"/>
        <v>-0.02470700031675645</v>
      </c>
      <c r="AH210" s="213"/>
    </row>
    <row r="211" spans="1:34" ht="12.75">
      <c r="A211" s="262"/>
      <c r="B211" s="280"/>
      <c r="C211" s="237" t="s">
        <v>852</v>
      </c>
      <c r="D211" s="230">
        <v>72</v>
      </c>
      <c r="E211" s="258">
        <v>67.75</v>
      </c>
      <c r="F211" s="258">
        <v>84.5</v>
      </c>
      <c r="G211" s="258">
        <v>94</v>
      </c>
      <c r="H211" s="238">
        <v>85.75</v>
      </c>
      <c r="I211" s="238">
        <v>95.9</v>
      </c>
      <c r="J211" s="238">
        <v>89</v>
      </c>
      <c r="K211" s="238">
        <v>82.15</v>
      </c>
      <c r="L211" s="238">
        <v>88</v>
      </c>
      <c r="M211" s="238">
        <v>100.65</v>
      </c>
      <c r="N211" s="238">
        <v>97.7</v>
      </c>
      <c r="O211" s="238">
        <v>99</v>
      </c>
      <c r="P211" s="238">
        <v>105.7</v>
      </c>
      <c r="Q211" s="238">
        <v>111.5</v>
      </c>
      <c r="R211" s="238">
        <v>108.6</v>
      </c>
      <c r="S211" s="215">
        <v>121.95</v>
      </c>
      <c r="T211" s="216">
        <v>122.45</v>
      </c>
      <c r="U211" s="216">
        <v>119.45</v>
      </c>
      <c r="V211" s="216">
        <v>125.05</v>
      </c>
      <c r="W211" s="216">
        <v>120.5</v>
      </c>
      <c r="X211" s="216">
        <v>124.2</v>
      </c>
      <c r="Y211" s="216">
        <v>132.8</v>
      </c>
      <c r="Z211" s="216">
        <v>138.7</v>
      </c>
      <c r="AA211" s="216">
        <v>140.45</v>
      </c>
      <c r="AB211" s="216">
        <v>132.85</v>
      </c>
      <c r="AC211" s="216">
        <v>130.6</v>
      </c>
      <c r="AD211" s="216">
        <v>126.9</v>
      </c>
      <c r="AE211" s="216">
        <v>114.55</v>
      </c>
      <c r="AF211" s="215"/>
      <c r="AG211" s="333">
        <f t="shared" si="6"/>
        <v>-0.0973207249802995</v>
      </c>
      <c r="AH211" s="213"/>
    </row>
    <row r="212" spans="1:34" ht="12.75">
      <c r="A212" s="262"/>
      <c r="B212" s="280"/>
      <c r="C212" s="213" t="s">
        <v>853</v>
      </c>
      <c r="D212" s="230">
        <v>37.85</v>
      </c>
      <c r="E212" s="258">
        <v>30</v>
      </c>
      <c r="F212" s="258">
        <v>43.3</v>
      </c>
      <c r="G212" s="258">
        <v>43.35</v>
      </c>
      <c r="H212" s="238">
        <v>46.35</v>
      </c>
      <c r="I212" s="238">
        <v>55</v>
      </c>
      <c r="J212" s="238">
        <v>60</v>
      </c>
      <c r="K212" s="238">
        <v>62.3</v>
      </c>
      <c r="L212" s="238">
        <v>65.2</v>
      </c>
      <c r="M212" s="238">
        <v>62.2</v>
      </c>
      <c r="N212" s="238">
        <v>64.9</v>
      </c>
      <c r="O212" s="238">
        <v>63.85</v>
      </c>
      <c r="P212" s="238">
        <v>64.9</v>
      </c>
      <c r="Q212" s="238">
        <v>67.65</v>
      </c>
      <c r="R212" s="238">
        <v>68.65</v>
      </c>
      <c r="S212" s="215">
        <v>76.85</v>
      </c>
      <c r="T212" s="216">
        <v>82.45</v>
      </c>
      <c r="U212" s="216">
        <v>81.6</v>
      </c>
      <c r="V212" s="216">
        <v>92</v>
      </c>
      <c r="W212" s="216">
        <v>90</v>
      </c>
      <c r="X212" s="216">
        <v>87.75</v>
      </c>
      <c r="Y212" s="216">
        <v>82</v>
      </c>
      <c r="Z212" s="216">
        <v>89.4</v>
      </c>
      <c r="AA212" s="216">
        <v>77.45</v>
      </c>
      <c r="AB212" s="216">
        <v>77.55</v>
      </c>
      <c r="AC212" s="216">
        <v>72.45</v>
      </c>
      <c r="AD212" s="216">
        <v>71.25</v>
      </c>
      <c r="AE212" s="216">
        <v>76.6</v>
      </c>
      <c r="AF212" s="215"/>
      <c r="AG212" s="333">
        <f t="shared" si="6"/>
        <v>0.07508771929824554</v>
      </c>
      <c r="AH212" s="213"/>
    </row>
    <row r="213" spans="1:34" ht="12.75">
      <c r="A213" s="262"/>
      <c r="B213" s="280"/>
      <c r="C213" s="237" t="s">
        <v>854</v>
      </c>
      <c r="D213" s="230">
        <v>96.25</v>
      </c>
      <c r="E213" s="258">
        <v>105.4</v>
      </c>
      <c r="F213" s="258">
        <v>108.45</v>
      </c>
      <c r="G213" s="258">
        <v>119.35</v>
      </c>
      <c r="H213" s="238">
        <v>122</v>
      </c>
      <c r="I213" s="238">
        <v>130.15</v>
      </c>
      <c r="J213" s="238">
        <v>131.25</v>
      </c>
      <c r="K213" s="238">
        <v>130.4</v>
      </c>
      <c r="L213" s="238">
        <v>127</v>
      </c>
      <c r="M213" s="238">
        <v>134.8</v>
      </c>
      <c r="N213" s="238">
        <v>152.5</v>
      </c>
      <c r="O213" s="238">
        <v>160.05</v>
      </c>
      <c r="P213" s="238">
        <v>159.3</v>
      </c>
      <c r="Q213" s="238">
        <v>156.25</v>
      </c>
      <c r="R213" s="238">
        <v>171.1</v>
      </c>
      <c r="S213" s="215">
        <v>164.95</v>
      </c>
      <c r="T213" s="216">
        <v>167.55</v>
      </c>
      <c r="U213" s="216">
        <v>163.75</v>
      </c>
      <c r="V213" s="216">
        <v>158.25</v>
      </c>
      <c r="W213" s="216">
        <v>173.05</v>
      </c>
      <c r="X213" s="216">
        <v>177.25</v>
      </c>
      <c r="Y213" s="216">
        <v>174.05</v>
      </c>
      <c r="Z213" s="216">
        <v>183.35</v>
      </c>
      <c r="AA213" s="216">
        <v>185</v>
      </c>
      <c r="AB213" s="216">
        <v>188.05</v>
      </c>
      <c r="AC213" s="216">
        <v>202.2</v>
      </c>
      <c r="AD213" s="216">
        <v>214.85</v>
      </c>
      <c r="AE213" s="216">
        <v>208</v>
      </c>
      <c r="AF213" s="215"/>
      <c r="AG213" s="333">
        <f t="shared" si="6"/>
        <v>-0.03188270886665113</v>
      </c>
      <c r="AH213" s="213"/>
    </row>
    <row r="214" spans="1:34" ht="12.75">
      <c r="A214" s="262"/>
      <c r="B214" s="280"/>
      <c r="C214" s="237" t="s">
        <v>855</v>
      </c>
      <c r="D214" s="230">
        <v>13</v>
      </c>
      <c r="E214" s="258">
        <v>14</v>
      </c>
      <c r="F214" s="258">
        <v>11</v>
      </c>
      <c r="G214" s="258">
        <v>10.5</v>
      </c>
      <c r="H214" s="238">
        <v>13.75</v>
      </c>
      <c r="I214" s="238">
        <v>14.1</v>
      </c>
      <c r="J214" s="238">
        <v>8.68</v>
      </c>
      <c r="K214" s="238">
        <v>14</v>
      </c>
      <c r="L214" s="238">
        <v>18.5</v>
      </c>
      <c r="M214" s="238">
        <v>18.7</v>
      </c>
      <c r="N214" s="238">
        <v>19.5</v>
      </c>
      <c r="O214" s="238">
        <v>18</v>
      </c>
      <c r="P214" s="238">
        <v>22</v>
      </c>
      <c r="Q214" s="238">
        <v>21.5</v>
      </c>
      <c r="R214" s="238">
        <v>24</v>
      </c>
      <c r="S214" s="215">
        <v>27.6</v>
      </c>
      <c r="T214" s="216">
        <v>33</v>
      </c>
      <c r="U214" s="216">
        <v>29</v>
      </c>
      <c r="V214" s="216">
        <v>29</v>
      </c>
      <c r="W214" s="216">
        <v>31</v>
      </c>
      <c r="X214" s="216">
        <v>28</v>
      </c>
      <c r="Y214" s="216">
        <v>28</v>
      </c>
      <c r="Z214" s="216">
        <v>24.25</v>
      </c>
      <c r="AA214" s="216">
        <v>19.55</v>
      </c>
      <c r="AB214" s="216">
        <v>15.95</v>
      </c>
      <c r="AC214" s="216">
        <v>18</v>
      </c>
      <c r="AD214" s="216">
        <v>16.2</v>
      </c>
      <c r="AE214" s="216">
        <v>15.4</v>
      </c>
      <c r="AF214" s="215"/>
      <c r="AG214" s="333">
        <f t="shared" si="6"/>
        <v>-0.04938271604938265</v>
      </c>
      <c r="AH214" s="213"/>
    </row>
    <row r="215" spans="1:34" ht="12.75">
      <c r="A215" s="259"/>
      <c r="B215" s="282"/>
      <c r="C215" s="237" t="s">
        <v>856</v>
      </c>
      <c r="D215" s="233">
        <v>10.25</v>
      </c>
      <c r="E215" s="260">
        <v>12.95</v>
      </c>
      <c r="F215" s="260">
        <v>13.15</v>
      </c>
      <c r="G215" s="260">
        <v>8</v>
      </c>
      <c r="H215" s="234">
        <v>8</v>
      </c>
      <c r="I215" s="234">
        <v>7.85</v>
      </c>
      <c r="J215" s="234">
        <v>6.9</v>
      </c>
      <c r="K215" s="234">
        <v>9.7</v>
      </c>
      <c r="L215" s="233">
        <v>11</v>
      </c>
      <c r="M215" s="233">
        <v>11.8</v>
      </c>
      <c r="N215" s="233">
        <v>7.7</v>
      </c>
      <c r="O215" s="233">
        <v>8</v>
      </c>
      <c r="P215" s="233">
        <v>5</v>
      </c>
      <c r="Q215" s="233">
        <v>5</v>
      </c>
      <c r="R215" s="233" t="s">
        <v>687</v>
      </c>
      <c r="S215" s="234" t="s">
        <v>687</v>
      </c>
      <c r="T215" s="306" t="s">
        <v>687</v>
      </c>
      <c r="U215" s="265">
        <v>10.15</v>
      </c>
      <c r="V215" s="265">
        <v>14</v>
      </c>
      <c r="W215" s="265">
        <v>12</v>
      </c>
      <c r="X215" s="265">
        <v>12.6</v>
      </c>
      <c r="Y215" s="265">
        <v>15</v>
      </c>
      <c r="Z215" s="265">
        <v>18.15</v>
      </c>
      <c r="AA215" s="265">
        <v>20.95</v>
      </c>
      <c r="AB215" s="265">
        <v>16.3</v>
      </c>
      <c r="AC215" s="265">
        <v>12.9</v>
      </c>
      <c r="AD215" s="265">
        <v>12.75</v>
      </c>
      <c r="AE215" s="265">
        <v>11.5</v>
      </c>
      <c r="AF215" s="235"/>
      <c r="AG215" s="333">
        <f t="shared" si="6"/>
        <v>-0.09803921568627451</v>
      </c>
      <c r="AH215" s="232"/>
    </row>
    <row r="216" spans="1:34" ht="12.75">
      <c r="A216" s="262"/>
      <c r="B216" s="280"/>
      <c r="C216" s="237" t="s">
        <v>857</v>
      </c>
      <c r="D216" s="230">
        <v>132.45</v>
      </c>
      <c r="E216" s="258">
        <v>135.5</v>
      </c>
      <c r="F216" s="258">
        <v>123.8</v>
      </c>
      <c r="G216" s="258">
        <v>129.5</v>
      </c>
      <c r="H216" s="238">
        <v>127.4</v>
      </c>
      <c r="I216" s="238">
        <v>134.8</v>
      </c>
      <c r="J216" s="238">
        <v>136.8</v>
      </c>
      <c r="K216" s="238">
        <v>144.5</v>
      </c>
      <c r="L216" s="238">
        <v>146.15</v>
      </c>
      <c r="M216" s="238">
        <v>144.7</v>
      </c>
      <c r="N216" s="238">
        <v>145.1</v>
      </c>
      <c r="O216" s="238">
        <v>149.75</v>
      </c>
      <c r="P216" s="238">
        <v>155.37</v>
      </c>
      <c r="Q216" s="238">
        <v>165.35</v>
      </c>
      <c r="R216" s="238">
        <v>178.7</v>
      </c>
      <c r="S216" s="215">
        <v>171.8</v>
      </c>
      <c r="T216" s="216">
        <v>179.9</v>
      </c>
      <c r="U216" s="216">
        <v>193.05</v>
      </c>
      <c r="V216" s="216">
        <v>212.25</v>
      </c>
      <c r="W216" s="216">
        <v>205.45</v>
      </c>
      <c r="X216" s="216">
        <v>218.65</v>
      </c>
      <c r="Y216" s="216">
        <v>217.85</v>
      </c>
      <c r="Z216" s="216">
        <v>209.95</v>
      </c>
      <c r="AA216" s="216">
        <v>201.25</v>
      </c>
      <c r="AB216" s="216">
        <v>216.25</v>
      </c>
      <c r="AC216" s="216">
        <v>229</v>
      </c>
      <c r="AD216" s="216">
        <v>233.6</v>
      </c>
      <c r="AE216" s="216">
        <v>231.55</v>
      </c>
      <c r="AF216" s="215"/>
      <c r="AG216" s="333">
        <f t="shared" si="6"/>
        <v>-0.008775684931506777</v>
      </c>
      <c r="AH216" s="213"/>
    </row>
    <row r="217" spans="1:34" ht="12.75">
      <c r="A217" s="262"/>
      <c r="B217" s="280"/>
      <c r="C217" s="237" t="s">
        <v>858</v>
      </c>
      <c r="D217" s="230">
        <v>113</v>
      </c>
      <c r="E217" s="258">
        <v>119.65</v>
      </c>
      <c r="F217" s="258">
        <v>131.75</v>
      </c>
      <c r="G217" s="258">
        <v>132.5</v>
      </c>
      <c r="H217" s="238">
        <v>138.7</v>
      </c>
      <c r="I217" s="238">
        <v>133.6</v>
      </c>
      <c r="J217" s="238">
        <v>151.45</v>
      </c>
      <c r="K217" s="238">
        <v>161.45</v>
      </c>
      <c r="L217" s="238">
        <v>169.75</v>
      </c>
      <c r="M217" s="238">
        <v>170.3</v>
      </c>
      <c r="N217" s="238">
        <v>179.95</v>
      </c>
      <c r="O217" s="238">
        <v>192.5</v>
      </c>
      <c r="P217" s="238">
        <v>193.8</v>
      </c>
      <c r="Q217" s="238">
        <v>197.65</v>
      </c>
      <c r="R217" s="238">
        <v>202.5</v>
      </c>
      <c r="S217" s="215">
        <v>215.75</v>
      </c>
      <c r="T217" s="216">
        <v>231.8</v>
      </c>
      <c r="U217" s="216">
        <v>232.55</v>
      </c>
      <c r="V217" s="216">
        <v>215.35</v>
      </c>
      <c r="W217" s="216">
        <v>208.2</v>
      </c>
      <c r="X217" s="216">
        <v>216.4</v>
      </c>
      <c r="Y217" s="216">
        <v>210.85</v>
      </c>
      <c r="Z217" s="216">
        <v>197.6</v>
      </c>
      <c r="AA217" s="216">
        <v>192.95</v>
      </c>
      <c r="AB217" s="216">
        <v>201.45</v>
      </c>
      <c r="AC217" s="216">
        <v>191.6</v>
      </c>
      <c r="AD217" s="216">
        <v>187.05</v>
      </c>
      <c r="AE217" s="216">
        <v>192.6</v>
      </c>
      <c r="AF217" s="215"/>
      <c r="AG217" s="333">
        <f t="shared" si="6"/>
        <v>0.029671210906174725</v>
      </c>
      <c r="AH217" s="213"/>
    </row>
    <row r="218" spans="1:34" ht="12.75">
      <c r="A218" s="262"/>
      <c r="B218" s="280"/>
      <c r="C218" s="237" t="s">
        <v>859</v>
      </c>
      <c r="D218" s="230">
        <v>68.9</v>
      </c>
      <c r="E218" s="258">
        <v>80.25</v>
      </c>
      <c r="F218" s="258">
        <v>81.3</v>
      </c>
      <c r="G218" s="258">
        <v>87.6</v>
      </c>
      <c r="H218" s="238">
        <v>79.6</v>
      </c>
      <c r="I218" s="238">
        <v>77.6</v>
      </c>
      <c r="J218" s="238">
        <v>75.45</v>
      </c>
      <c r="K218" s="238">
        <v>70.85</v>
      </c>
      <c r="L218" s="238">
        <v>76.65</v>
      </c>
      <c r="M218" s="238">
        <v>94.7</v>
      </c>
      <c r="N218" s="238">
        <v>94</v>
      </c>
      <c r="O218" s="238">
        <v>96.8</v>
      </c>
      <c r="P218" s="238">
        <v>101.5</v>
      </c>
      <c r="Q218" s="238">
        <v>104.6</v>
      </c>
      <c r="R218" s="238">
        <v>125.45</v>
      </c>
      <c r="S218" s="215">
        <v>134.3</v>
      </c>
      <c r="T218" s="216">
        <v>138.2</v>
      </c>
      <c r="U218" s="216">
        <v>137.75</v>
      </c>
      <c r="V218" s="216">
        <v>129</v>
      </c>
      <c r="W218" s="216">
        <v>141</v>
      </c>
      <c r="X218" s="216">
        <v>149.3</v>
      </c>
      <c r="Y218" s="216">
        <v>150.35</v>
      </c>
      <c r="Z218" s="216">
        <v>151.7</v>
      </c>
      <c r="AA218" s="216">
        <v>146.85</v>
      </c>
      <c r="AB218" s="216">
        <v>154.1</v>
      </c>
      <c r="AC218" s="216">
        <v>141.3</v>
      </c>
      <c r="AD218" s="216">
        <v>149.9</v>
      </c>
      <c r="AE218" s="216">
        <v>152.95</v>
      </c>
      <c r="AF218" s="215"/>
      <c r="AG218" s="333">
        <f t="shared" si="6"/>
        <v>0.020346897931954523</v>
      </c>
      <c r="AH218" s="213"/>
    </row>
    <row r="219" spans="1:34" ht="12.75">
      <c r="A219" s="262"/>
      <c r="B219" s="280"/>
      <c r="C219" s="237" t="s">
        <v>860</v>
      </c>
      <c r="D219" s="230">
        <v>91</v>
      </c>
      <c r="E219" s="258">
        <v>95.9</v>
      </c>
      <c r="F219" s="258">
        <v>84</v>
      </c>
      <c r="G219" s="258">
        <v>87.25</v>
      </c>
      <c r="H219" s="238">
        <v>92.95</v>
      </c>
      <c r="I219" s="238">
        <v>96.45</v>
      </c>
      <c r="J219" s="238">
        <v>82.5</v>
      </c>
      <c r="K219" s="238">
        <v>95.45</v>
      </c>
      <c r="L219" s="238">
        <v>91.35</v>
      </c>
      <c r="M219" s="238">
        <v>100.65</v>
      </c>
      <c r="N219" s="238">
        <v>108.6</v>
      </c>
      <c r="O219" s="238">
        <v>108.55</v>
      </c>
      <c r="P219" s="238">
        <v>109.05</v>
      </c>
      <c r="Q219" s="238">
        <v>119.85</v>
      </c>
      <c r="R219" s="238">
        <v>106.45</v>
      </c>
      <c r="S219" s="215">
        <v>109</v>
      </c>
      <c r="T219" s="216">
        <v>112.4</v>
      </c>
      <c r="U219" s="216">
        <v>108.35</v>
      </c>
      <c r="V219" s="216">
        <v>115</v>
      </c>
      <c r="W219" s="216">
        <v>119</v>
      </c>
      <c r="X219" s="216">
        <v>127.7</v>
      </c>
      <c r="Y219" s="216">
        <v>122.6</v>
      </c>
      <c r="Z219" s="216">
        <v>113.05</v>
      </c>
      <c r="AA219" s="216">
        <v>104.15</v>
      </c>
      <c r="AB219" s="216">
        <v>110.3</v>
      </c>
      <c r="AC219" s="216">
        <v>114.9</v>
      </c>
      <c r="AD219" s="216">
        <v>102.45</v>
      </c>
      <c r="AE219" s="216">
        <v>108</v>
      </c>
      <c r="AF219" s="215"/>
      <c r="AG219" s="333">
        <f t="shared" si="6"/>
        <v>0.05417276720351388</v>
      </c>
      <c r="AH219" s="213"/>
    </row>
    <row r="220" spans="1:34" ht="12.75">
      <c r="A220" s="263"/>
      <c r="B220" s="240"/>
      <c r="C220" s="268"/>
      <c r="D220" s="242"/>
      <c r="E220" s="264"/>
      <c r="F220" s="264"/>
      <c r="G220" s="264"/>
      <c r="H220" s="243"/>
      <c r="I220" s="243"/>
      <c r="J220" s="243"/>
      <c r="K220" s="243"/>
      <c r="L220" s="243"/>
      <c r="M220" s="243"/>
      <c r="N220" s="243"/>
      <c r="O220" s="243"/>
      <c r="P220" s="243"/>
      <c r="Q220" s="243"/>
      <c r="R220" s="241"/>
      <c r="S220" s="257"/>
      <c r="T220" s="257"/>
      <c r="U220" s="257"/>
      <c r="V220" s="257"/>
      <c r="W220" s="257"/>
      <c r="X220" s="257"/>
      <c r="Y220" s="257"/>
      <c r="Z220" s="257"/>
      <c r="AA220" s="257"/>
      <c r="AB220" s="257"/>
      <c r="AC220" s="257"/>
      <c r="AD220" s="257"/>
      <c r="AE220" s="257"/>
      <c r="AF220" s="246">
        <f>SUM(AE196:AE219)</f>
        <v>4035.1499999999996</v>
      </c>
      <c r="AG220" s="330"/>
      <c r="AH220" s="241"/>
    </row>
    <row r="221" spans="1:34" ht="12.75">
      <c r="A221" s="244" t="s">
        <v>685</v>
      </c>
      <c r="B221" s="229" t="s">
        <v>558</v>
      </c>
      <c r="C221" s="237" t="s">
        <v>861</v>
      </c>
      <c r="D221" s="230">
        <v>153.05</v>
      </c>
      <c r="E221" s="258">
        <v>151.05</v>
      </c>
      <c r="F221" s="258">
        <v>159.25</v>
      </c>
      <c r="G221" s="258">
        <v>160.15</v>
      </c>
      <c r="H221" s="238">
        <v>154.4</v>
      </c>
      <c r="I221" s="238">
        <v>157.5</v>
      </c>
      <c r="J221" s="238">
        <v>174.2</v>
      </c>
      <c r="K221" s="238">
        <v>178.9</v>
      </c>
      <c r="L221" s="238">
        <v>191.65</v>
      </c>
      <c r="M221" s="238">
        <v>196.8</v>
      </c>
      <c r="N221" s="238">
        <v>192.5</v>
      </c>
      <c r="O221" s="238">
        <v>196.9</v>
      </c>
      <c r="P221" s="238">
        <v>217.75</v>
      </c>
      <c r="Q221" s="238">
        <v>226.45</v>
      </c>
      <c r="R221" s="238">
        <v>233</v>
      </c>
      <c r="S221" s="215">
        <v>245.8</v>
      </c>
      <c r="T221" s="216">
        <v>229</v>
      </c>
      <c r="U221" s="216">
        <v>235.6</v>
      </c>
      <c r="V221" s="216">
        <v>239.35</v>
      </c>
      <c r="W221" s="216">
        <v>215.65</v>
      </c>
      <c r="X221" s="216">
        <v>227.4</v>
      </c>
      <c r="Y221" s="216">
        <v>227.9</v>
      </c>
      <c r="Z221" s="216">
        <v>221.8</v>
      </c>
      <c r="AA221" s="216">
        <v>243.1</v>
      </c>
      <c r="AB221" s="216">
        <v>234.55</v>
      </c>
      <c r="AC221" s="216">
        <v>208.4</v>
      </c>
      <c r="AD221" s="216">
        <v>223.65</v>
      </c>
      <c r="AE221" s="216">
        <v>222.45000000000002</v>
      </c>
      <c r="AF221" s="215"/>
      <c r="AG221" s="333">
        <f aca="true" t="shared" si="8" ref="AG221:AG227">(AE221-AD221)/AD221</f>
        <v>-0.005365526492287004</v>
      </c>
      <c r="AH221" s="213"/>
    </row>
    <row r="222" spans="1:34" ht="12.75">
      <c r="A222" s="262"/>
      <c r="B222" s="229"/>
      <c r="C222" s="237" t="s">
        <v>862</v>
      </c>
      <c r="D222" s="230">
        <v>160.65</v>
      </c>
      <c r="E222" s="258">
        <v>163.75</v>
      </c>
      <c r="F222" s="258">
        <v>192.75</v>
      </c>
      <c r="G222" s="258">
        <v>211.1</v>
      </c>
      <c r="H222" s="230">
        <v>203</v>
      </c>
      <c r="I222" s="238">
        <v>206.75</v>
      </c>
      <c r="J222" s="238">
        <v>206.9</v>
      </c>
      <c r="K222" s="238">
        <v>264.75</v>
      </c>
      <c r="L222" s="238">
        <v>230.4</v>
      </c>
      <c r="M222" s="238">
        <v>245.85</v>
      </c>
      <c r="N222" s="238">
        <v>236.95</v>
      </c>
      <c r="O222" s="238">
        <v>233.05</v>
      </c>
      <c r="P222" s="238">
        <v>231.85</v>
      </c>
      <c r="Q222" s="238">
        <v>235.5</v>
      </c>
      <c r="R222" s="238">
        <v>246.15</v>
      </c>
      <c r="S222" s="215">
        <v>226.8</v>
      </c>
      <c r="T222" s="216">
        <v>248.3</v>
      </c>
      <c r="U222" s="216">
        <v>246.95</v>
      </c>
      <c r="V222" s="216">
        <v>231.1</v>
      </c>
      <c r="W222" s="216">
        <v>224.15</v>
      </c>
      <c r="X222" s="216">
        <v>210.85</v>
      </c>
      <c r="Y222" s="216">
        <v>211.5</v>
      </c>
      <c r="Z222" s="216">
        <v>209.55</v>
      </c>
      <c r="AA222" s="216">
        <v>206.2</v>
      </c>
      <c r="AB222" s="216">
        <v>230.6</v>
      </c>
      <c r="AC222" s="216">
        <v>210.6</v>
      </c>
      <c r="AD222" s="216">
        <v>215.3</v>
      </c>
      <c r="AE222" s="216">
        <v>207.5</v>
      </c>
      <c r="AF222" s="215"/>
      <c r="AG222" s="333">
        <f t="shared" si="8"/>
        <v>-0.036228518346493314</v>
      </c>
      <c r="AH222" s="213"/>
    </row>
    <row r="223" spans="1:34" ht="12.75">
      <c r="A223" s="262"/>
      <c r="B223" s="229"/>
      <c r="C223" s="237" t="s">
        <v>863</v>
      </c>
      <c r="D223" s="230">
        <v>236.75</v>
      </c>
      <c r="E223" s="258">
        <v>239.95</v>
      </c>
      <c r="F223" s="258">
        <v>281.5</v>
      </c>
      <c r="G223" s="258">
        <v>298.95</v>
      </c>
      <c r="H223" s="230">
        <v>329.15</v>
      </c>
      <c r="I223" s="238">
        <v>354.45</v>
      </c>
      <c r="J223" s="238">
        <v>364.7</v>
      </c>
      <c r="K223" s="238">
        <v>392.55</v>
      </c>
      <c r="L223" s="238">
        <v>381.85</v>
      </c>
      <c r="M223" s="238">
        <v>388.95</v>
      </c>
      <c r="N223" s="238">
        <v>396.05</v>
      </c>
      <c r="O223" s="238">
        <v>402.3</v>
      </c>
      <c r="P223" s="238">
        <v>397.1</v>
      </c>
      <c r="Q223" s="238">
        <v>395.05</v>
      </c>
      <c r="R223" s="238">
        <v>389.35</v>
      </c>
      <c r="S223" s="215">
        <v>380.2</v>
      </c>
      <c r="T223" s="216">
        <v>298.2</v>
      </c>
      <c r="U223" s="216">
        <v>400.95</v>
      </c>
      <c r="V223" s="216">
        <v>403.15</v>
      </c>
      <c r="W223" s="216">
        <v>392.8</v>
      </c>
      <c r="X223" s="216">
        <v>409.4</v>
      </c>
      <c r="Y223" s="216">
        <v>405.05</v>
      </c>
      <c r="Z223" s="216">
        <v>394.3</v>
      </c>
      <c r="AA223" s="216">
        <v>422.7</v>
      </c>
      <c r="AB223" s="216">
        <v>421.05</v>
      </c>
      <c r="AC223" s="216">
        <v>431.9</v>
      </c>
      <c r="AD223" s="216">
        <v>450.75</v>
      </c>
      <c r="AE223" s="216">
        <v>424.9</v>
      </c>
      <c r="AF223" s="215"/>
      <c r="AG223" s="333">
        <f t="shared" si="8"/>
        <v>-0.057348863006100995</v>
      </c>
      <c r="AH223" s="213"/>
    </row>
    <row r="224" spans="1:34" ht="12.75">
      <c r="A224" s="262"/>
      <c r="B224" s="229"/>
      <c r="C224" s="237" t="s">
        <v>864</v>
      </c>
      <c r="D224" s="230">
        <v>135.2</v>
      </c>
      <c r="E224" s="258">
        <v>158</v>
      </c>
      <c r="F224" s="258">
        <v>163.25</v>
      </c>
      <c r="G224" s="258">
        <v>159.45</v>
      </c>
      <c r="H224" s="238">
        <v>168.4</v>
      </c>
      <c r="I224" s="238">
        <v>188</v>
      </c>
      <c r="J224" s="238">
        <v>171.4</v>
      </c>
      <c r="K224" s="238">
        <v>186.35</v>
      </c>
      <c r="L224" s="238">
        <v>191.65</v>
      </c>
      <c r="M224" s="238">
        <v>196.5</v>
      </c>
      <c r="N224" s="238">
        <v>199.05</v>
      </c>
      <c r="O224" s="238">
        <v>196.05</v>
      </c>
      <c r="P224" s="238">
        <v>204.85</v>
      </c>
      <c r="Q224" s="238">
        <v>196.95</v>
      </c>
      <c r="R224" s="238">
        <v>200.55</v>
      </c>
      <c r="S224" s="215">
        <v>200.9</v>
      </c>
      <c r="T224" s="216">
        <v>204.35</v>
      </c>
      <c r="U224" s="216">
        <v>199.1</v>
      </c>
      <c r="V224" s="216">
        <v>189</v>
      </c>
      <c r="W224" s="216">
        <v>170.85</v>
      </c>
      <c r="X224" s="216">
        <v>168.1</v>
      </c>
      <c r="Y224" s="216">
        <v>193.9</v>
      </c>
      <c r="Z224" s="216">
        <v>180.06</v>
      </c>
      <c r="AA224" s="216">
        <v>194.3</v>
      </c>
      <c r="AB224" s="216">
        <v>186.25</v>
      </c>
      <c r="AC224" s="216">
        <v>194.5</v>
      </c>
      <c r="AD224" s="216">
        <v>174.1</v>
      </c>
      <c r="AE224" s="216">
        <v>175.7</v>
      </c>
      <c r="AF224" s="215"/>
      <c r="AG224" s="333">
        <f t="shared" si="8"/>
        <v>0.009190120620333109</v>
      </c>
      <c r="AH224" s="213"/>
    </row>
    <row r="225" spans="1:34" ht="12.75">
      <c r="A225" s="262"/>
      <c r="B225" s="229"/>
      <c r="C225" s="237" t="s">
        <v>865</v>
      </c>
      <c r="D225" s="230">
        <v>86.2</v>
      </c>
      <c r="E225" s="258">
        <v>77.05</v>
      </c>
      <c r="F225" s="258">
        <v>86.2</v>
      </c>
      <c r="G225" s="258">
        <v>89.15</v>
      </c>
      <c r="H225" s="238">
        <v>92.9</v>
      </c>
      <c r="I225" s="238">
        <v>87.05</v>
      </c>
      <c r="J225" s="238">
        <v>99</v>
      </c>
      <c r="K225" s="238">
        <v>93.9</v>
      </c>
      <c r="L225" s="238">
        <v>105.65</v>
      </c>
      <c r="M225" s="238">
        <v>95.9</v>
      </c>
      <c r="N225" s="238">
        <v>103.4</v>
      </c>
      <c r="O225" s="238">
        <v>101.75</v>
      </c>
      <c r="P225" s="238">
        <v>118.75</v>
      </c>
      <c r="Q225" s="238">
        <v>121.65</v>
      </c>
      <c r="R225" s="238">
        <v>126.5</v>
      </c>
      <c r="S225" s="215">
        <v>131.55</v>
      </c>
      <c r="T225" s="216">
        <v>129.25</v>
      </c>
      <c r="U225" s="216">
        <v>128.85</v>
      </c>
      <c r="V225" s="216">
        <v>138.15</v>
      </c>
      <c r="W225" s="216">
        <v>133.35</v>
      </c>
      <c r="X225" s="216">
        <v>131.25</v>
      </c>
      <c r="Y225" s="216">
        <v>130</v>
      </c>
      <c r="Z225" s="216">
        <v>135.18</v>
      </c>
      <c r="AA225" s="216">
        <v>127.55</v>
      </c>
      <c r="AB225" s="216">
        <v>132.6</v>
      </c>
      <c r="AC225" s="216">
        <v>132</v>
      </c>
      <c r="AD225" s="216">
        <v>141.2</v>
      </c>
      <c r="AE225" s="216">
        <v>118.2</v>
      </c>
      <c r="AF225" s="215"/>
      <c r="AG225" s="333">
        <f t="shared" si="8"/>
        <v>-0.16288951841359764</v>
      </c>
      <c r="AH225" s="213"/>
    </row>
    <row r="226" spans="1:34" ht="12.75">
      <c r="A226" s="262"/>
      <c r="B226" s="229"/>
      <c r="C226" s="237" t="s">
        <v>1246</v>
      </c>
      <c r="D226" s="230">
        <v>202.4</v>
      </c>
      <c r="E226" s="258">
        <v>204.9</v>
      </c>
      <c r="F226" s="258">
        <v>240.25</v>
      </c>
      <c r="G226" s="258">
        <v>232.75</v>
      </c>
      <c r="H226" s="238">
        <v>222.7</v>
      </c>
      <c r="I226" s="238">
        <v>220.45</v>
      </c>
      <c r="J226" s="238">
        <v>219.65</v>
      </c>
      <c r="K226" s="238">
        <v>248.85</v>
      </c>
      <c r="L226" s="255">
        <v>225.1</v>
      </c>
      <c r="M226" s="255">
        <v>234.95</v>
      </c>
      <c r="N226" s="255">
        <v>233.55</v>
      </c>
      <c r="O226" s="255">
        <v>223.55</v>
      </c>
      <c r="P226" s="255">
        <v>263.9</v>
      </c>
      <c r="Q226" s="255">
        <v>256.7</v>
      </c>
      <c r="R226" s="255">
        <v>244.4</v>
      </c>
      <c r="S226" s="215">
        <v>246.25</v>
      </c>
      <c r="T226" s="216">
        <v>246.05</v>
      </c>
      <c r="U226" s="216">
        <v>251.5</v>
      </c>
      <c r="V226" s="216">
        <v>249.7</v>
      </c>
      <c r="W226" s="216">
        <v>230.55</v>
      </c>
      <c r="X226" s="216">
        <v>239.05</v>
      </c>
      <c r="Y226" s="216">
        <v>244.2</v>
      </c>
      <c r="Z226" s="216">
        <v>241.8</v>
      </c>
      <c r="AA226" s="216">
        <v>220.85</v>
      </c>
      <c r="AB226" s="216">
        <v>260.4</v>
      </c>
      <c r="AC226" s="216">
        <v>232.15</v>
      </c>
      <c r="AD226" s="216">
        <v>212.6</v>
      </c>
      <c r="AE226" s="216">
        <v>200.3</v>
      </c>
      <c r="AF226" s="215"/>
      <c r="AG226" s="333">
        <f t="shared" si="8"/>
        <v>-0.05785512699905919</v>
      </c>
      <c r="AH226" s="213"/>
    </row>
    <row r="227" spans="1:34" ht="12.75">
      <c r="A227" s="262"/>
      <c r="B227" s="229"/>
      <c r="C227" s="237" t="s">
        <v>866</v>
      </c>
      <c r="D227" s="230">
        <v>121.3</v>
      </c>
      <c r="E227" s="258">
        <v>122.9</v>
      </c>
      <c r="F227" s="258">
        <v>141.45</v>
      </c>
      <c r="G227" s="258">
        <v>151.3</v>
      </c>
      <c r="H227" s="238">
        <v>156.05</v>
      </c>
      <c r="I227" s="238">
        <v>174</v>
      </c>
      <c r="J227" s="238">
        <v>174.3</v>
      </c>
      <c r="K227" s="238">
        <v>173.05</v>
      </c>
      <c r="L227" s="258">
        <v>199.25</v>
      </c>
      <c r="M227" s="258">
        <v>206.05</v>
      </c>
      <c r="N227" s="258">
        <v>198.85</v>
      </c>
      <c r="O227" s="258">
        <v>195.2</v>
      </c>
      <c r="P227" s="258">
        <v>212.15</v>
      </c>
      <c r="Q227" s="258">
        <v>191.45</v>
      </c>
      <c r="R227" s="258">
        <v>175.4</v>
      </c>
      <c r="S227" s="215">
        <v>188.5</v>
      </c>
      <c r="T227" s="216">
        <v>181.15</v>
      </c>
      <c r="U227" s="216">
        <v>166.45</v>
      </c>
      <c r="V227" s="216">
        <v>156.15</v>
      </c>
      <c r="W227" s="216">
        <v>161.35</v>
      </c>
      <c r="X227" s="216">
        <v>170.1</v>
      </c>
      <c r="Y227" s="216">
        <v>176.05</v>
      </c>
      <c r="Z227" s="216">
        <v>176.3</v>
      </c>
      <c r="AA227" s="216">
        <v>170.9</v>
      </c>
      <c r="AB227" s="216">
        <v>176.95</v>
      </c>
      <c r="AC227" s="216">
        <v>186.75</v>
      </c>
      <c r="AD227" s="216">
        <v>174.85</v>
      </c>
      <c r="AE227" s="216">
        <v>189.2</v>
      </c>
      <c r="AF227" s="215"/>
      <c r="AG227" s="333">
        <f t="shared" si="8"/>
        <v>0.08207034601086642</v>
      </c>
      <c r="AH227" s="213"/>
    </row>
    <row r="228" spans="1:34" ht="12.75">
      <c r="A228" s="262"/>
      <c r="B228" s="229"/>
      <c r="C228" s="237" t="s">
        <v>867</v>
      </c>
      <c r="D228" s="230">
        <v>29</v>
      </c>
      <c r="E228" s="258">
        <v>26.75</v>
      </c>
      <c r="F228" s="258">
        <v>28.7</v>
      </c>
      <c r="G228" s="258">
        <v>39</v>
      </c>
      <c r="H228" s="238">
        <v>35</v>
      </c>
      <c r="I228" s="238">
        <v>34</v>
      </c>
      <c r="J228" s="238">
        <v>49</v>
      </c>
      <c r="K228" s="238">
        <v>44.15</v>
      </c>
      <c r="L228" s="238">
        <v>33</v>
      </c>
      <c r="M228" s="238">
        <v>39</v>
      </c>
      <c r="N228" s="238">
        <v>35.8</v>
      </c>
      <c r="O228" s="238">
        <v>40.3</v>
      </c>
      <c r="P228" s="238">
        <v>41.95</v>
      </c>
      <c r="Q228" s="238">
        <v>42.65</v>
      </c>
      <c r="R228" s="238">
        <v>33</v>
      </c>
      <c r="S228" s="215">
        <v>30</v>
      </c>
      <c r="T228" s="216">
        <v>21.95</v>
      </c>
      <c r="U228" s="216">
        <v>19.9</v>
      </c>
      <c r="V228" s="216">
        <v>16</v>
      </c>
      <c r="W228" s="216">
        <v>20.4</v>
      </c>
      <c r="X228" s="216">
        <v>14.35</v>
      </c>
      <c r="Y228" s="216">
        <v>9.8</v>
      </c>
      <c r="Z228" s="356" t="s">
        <v>687</v>
      </c>
      <c r="AA228" s="356" t="s">
        <v>687</v>
      </c>
      <c r="AB228" s="356" t="s">
        <v>687</v>
      </c>
      <c r="AC228" s="356" t="s">
        <v>687</v>
      </c>
      <c r="AD228" s="236" t="s">
        <v>687</v>
      </c>
      <c r="AE228" s="236" t="s">
        <v>687</v>
      </c>
      <c r="AF228" s="215"/>
      <c r="AG228" s="333"/>
      <c r="AH228" s="213"/>
    </row>
    <row r="229" spans="1:34" ht="12.75">
      <c r="A229" s="262"/>
      <c r="B229" s="229"/>
      <c r="C229" s="237" t="s">
        <v>868</v>
      </c>
      <c r="D229" s="230">
        <v>82.9</v>
      </c>
      <c r="E229" s="258">
        <v>84.25</v>
      </c>
      <c r="F229" s="258">
        <v>85.25</v>
      </c>
      <c r="G229" s="258">
        <v>87</v>
      </c>
      <c r="H229" s="238">
        <v>94.5</v>
      </c>
      <c r="I229" s="238">
        <v>97</v>
      </c>
      <c r="J229" s="238">
        <v>97</v>
      </c>
      <c r="K229" s="238">
        <v>92.25</v>
      </c>
      <c r="L229" s="238">
        <v>99.3</v>
      </c>
      <c r="M229" s="238">
        <v>106.7</v>
      </c>
      <c r="N229" s="238">
        <v>101.15</v>
      </c>
      <c r="O229" s="238">
        <v>106.65</v>
      </c>
      <c r="P229" s="238">
        <v>110.7</v>
      </c>
      <c r="Q229" s="238">
        <v>99.85</v>
      </c>
      <c r="R229" s="238">
        <v>104</v>
      </c>
      <c r="S229" s="215">
        <v>98.8</v>
      </c>
      <c r="T229" s="216">
        <v>101.1</v>
      </c>
      <c r="U229" s="216">
        <v>106.2</v>
      </c>
      <c r="V229" s="216">
        <v>112.35</v>
      </c>
      <c r="W229" s="216">
        <v>98.65</v>
      </c>
      <c r="X229" s="216">
        <v>115.4</v>
      </c>
      <c r="Y229" s="216">
        <v>110.1</v>
      </c>
      <c r="Z229" s="216">
        <v>116.81</v>
      </c>
      <c r="AA229" s="216">
        <v>108.35</v>
      </c>
      <c r="AB229" s="216">
        <v>107</v>
      </c>
      <c r="AC229" s="216">
        <v>115.9</v>
      </c>
      <c r="AD229" s="216">
        <v>125.45</v>
      </c>
      <c r="AE229" s="216">
        <v>123.15</v>
      </c>
      <c r="AF229" s="215"/>
      <c r="AG229" s="333">
        <f>(AE229-AD229)/AD229</f>
        <v>-0.018333997608608984</v>
      </c>
      <c r="AH229" s="213"/>
    </row>
    <row r="230" spans="1:34" ht="12.75">
      <c r="A230" s="262"/>
      <c r="B230" s="229"/>
      <c r="C230" s="237" t="s">
        <v>869</v>
      </c>
      <c r="D230" s="230">
        <v>103.85</v>
      </c>
      <c r="E230" s="230">
        <v>106.4</v>
      </c>
      <c r="F230" s="230">
        <v>109.05</v>
      </c>
      <c r="G230" s="230">
        <v>110.85</v>
      </c>
      <c r="H230" s="238">
        <v>119.35</v>
      </c>
      <c r="I230" s="238">
        <v>122</v>
      </c>
      <c r="J230" s="238">
        <v>122.6</v>
      </c>
      <c r="K230" s="238">
        <v>125.8</v>
      </c>
      <c r="L230" s="239">
        <v>147.35</v>
      </c>
      <c r="M230" s="239">
        <v>164.55</v>
      </c>
      <c r="N230" s="239">
        <v>166.95</v>
      </c>
      <c r="O230" s="239">
        <v>173.1</v>
      </c>
      <c r="P230" s="239">
        <v>178.15</v>
      </c>
      <c r="Q230" s="239">
        <v>201.25</v>
      </c>
      <c r="R230" s="239">
        <v>207.1</v>
      </c>
      <c r="S230" s="215">
        <v>224</v>
      </c>
      <c r="T230" s="216">
        <v>239.15</v>
      </c>
      <c r="U230" s="216">
        <v>223.25</v>
      </c>
      <c r="V230" s="216">
        <v>229.35</v>
      </c>
      <c r="W230" s="216">
        <v>209.75</v>
      </c>
      <c r="X230" s="216">
        <v>211.4</v>
      </c>
      <c r="Y230" s="216">
        <v>219.65</v>
      </c>
      <c r="Z230" s="216">
        <v>216.05</v>
      </c>
      <c r="AA230" s="216">
        <v>208.8</v>
      </c>
      <c r="AB230" s="216">
        <v>213.45</v>
      </c>
      <c r="AC230" s="216">
        <v>230.7</v>
      </c>
      <c r="AD230" s="216">
        <v>216.2</v>
      </c>
      <c r="AE230" s="216">
        <v>233.35</v>
      </c>
      <c r="AF230" s="215"/>
      <c r="AG230" s="333">
        <f>(AE230-AD230)/AD230</f>
        <v>0.07932469935245147</v>
      </c>
      <c r="AH230" s="213"/>
    </row>
    <row r="231" spans="1:34" ht="12.75">
      <c r="A231" s="262"/>
      <c r="B231" s="229"/>
      <c r="C231" s="237" t="s">
        <v>870</v>
      </c>
      <c r="D231" s="230">
        <v>32.6</v>
      </c>
      <c r="E231" s="230">
        <v>29.45</v>
      </c>
      <c r="F231" s="230">
        <v>33</v>
      </c>
      <c r="G231" s="230">
        <v>45.55</v>
      </c>
      <c r="H231" s="255">
        <v>45.2</v>
      </c>
      <c r="I231" s="255">
        <v>54</v>
      </c>
      <c r="J231" s="255">
        <v>57.2</v>
      </c>
      <c r="K231" s="255">
        <v>49.65</v>
      </c>
      <c r="L231" s="239">
        <v>55.75</v>
      </c>
      <c r="M231" s="239">
        <v>60.9</v>
      </c>
      <c r="N231" s="239">
        <v>62.45</v>
      </c>
      <c r="O231" s="239">
        <v>69</v>
      </c>
      <c r="P231" s="239">
        <v>76</v>
      </c>
      <c r="Q231" s="239">
        <v>64.3</v>
      </c>
      <c r="R231" s="239">
        <v>58</v>
      </c>
      <c r="S231" s="278">
        <v>63.95</v>
      </c>
      <c r="T231" s="291">
        <v>69.8</v>
      </c>
      <c r="U231" s="291">
        <v>56.4</v>
      </c>
      <c r="V231" s="291">
        <v>66.8</v>
      </c>
      <c r="W231" s="291">
        <v>64.85</v>
      </c>
      <c r="X231" s="291">
        <v>66.75</v>
      </c>
      <c r="Y231" s="291">
        <v>58.5</v>
      </c>
      <c r="Z231" s="291">
        <v>67.9</v>
      </c>
      <c r="AA231" s="291">
        <v>50.8</v>
      </c>
      <c r="AB231" s="291">
        <v>56.3</v>
      </c>
      <c r="AC231" s="291">
        <v>56.95</v>
      </c>
      <c r="AD231" s="291">
        <v>51.25</v>
      </c>
      <c r="AE231" s="291">
        <v>63.3</v>
      </c>
      <c r="AF231" s="278"/>
      <c r="AG231" s="333">
        <f>(AE231-AD231)/AD231</f>
        <v>0.23512195121951213</v>
      </c>
      <c r="AH231" s="365"/>
    </row>
    <row r="232" spans="1:34" ht="12.75">
      <c r="A232" s="263"/>
      <c r="B232" s="283"/>
      <c r="C232" s="283"/>
      <c r="D232" s="242"/>
      <c r="E232" s="242"/>
      <c r="F232" s="242"/>
      <c r="G232" s="242"/>
      <c r="H232" s="242"/>
      <c r="I232" s="256"/>
      <c r="J232" s="264"/>
      <c r="K232" s="264"/>
      <c r="L232" s="270"/>
      <c r="M232" s="270"/>
      <c r="N232" s="270"/>
      <c r="O232" s="270"/>
      <c r="P232" s="270"/>
      <c r="Q232" s="270"/>
      <c r="R232" s="242"/>
      <c r="S232" s="270"/>
      <c r="T232" s="270"/>
      <c r="U232" s="270"/>
      <c r="V232" s="270"/>
      <c r="W232" s="270"/>
      <c r="X232" s="270"/>
      <c r="Y232" s="270"/>
      <c r="Z232" s="270"/>
      <c r="AA232" s="270"/>
      <c r="AB232" s="270"/>
      <c r="AC232" s="270"/>
      <c r="AD232" s="270"/>
      <c r="AE232" s="270"/>
      <c r="AF232" s="274">
        <f>SUM(AE221:AE231)</f>
        <v>1958.05</v>
      </c>
      <c r="AG232" s="366"/>
      <c r="AH232" s="363"/>
    </row>
    <row r="233" spans="1:34" ht="12.75">
      <c r="A233" s="286" t="s">
        <v>745</v>
      </c>
      <c r="B233" s="287" t="s">
        <v>871</v>
      </c>
      <c r="C233" s="288" t="s">
        <v>871</v>
      </c>
      <c r="D233" s="289">
        <v>212.5</v>
      </c>
      <c r="E233" s="289">
        <v>212.95</v>
      </c>
      <c r="F233" s="289">
        <v>267.7</v>
      </c>
      <c r="G233" s="289">
        <v>281.6</v>
      </c>
      <c r="H233" s="266">
        <v>282.3</v>
      </c>
      <c r="I233" s="266">
        <v>275.12</v>
      </c>
      <c r="J233" s="266">
        <v>293</v>
      </c>
      <c r="K233" s="266">
        <v>307.57</v>
      </c>
      <c r="L233" s="290" t="s">
        <v>872</v>
      </c>
      <c r="M233" s="290" t="s">
        <v>872</v>
      </c>
      <c r="N233" s="290" t="s">
        <v>872</v>
      </c>
      <c r="O233" s="290" t="s">
        <v>872</v>
      </c>
      <c r="P233" s="290" t="s">
        <v>872</v>
      </c>
      <c r="Q233" s="290" t="s">
        <v>872</v>
      </c>
      <c r="R233" s="290" t="s">
        <v>872</v>
      </c>
      <c r="S233" s="290" t="s">
        <v>872</v>
      </c>
      <c r="T233" s="291" t="s">
        <v>872</v>
      </c>
      <c r="U233" s="291" t="s">
        <v>872</v>
      </c>
      <c r="V233" s="291" t="s">
        <v>872</v>
      </c>
      <c r="W233" s="291" t="s">
        <v>872</v>
      </c>
      <c r="X233" s="291" t="s">
        <v>872</v>
      </c>
      <c r="Y233" s="291" t="s">
        <v>872</v>
      </c>
      <c r="Z233" s="291" t="s">
        <v>872</v>
      </c>
      <c r="AA233" s="291" t="s">
        <v>872</v>
      </c>
      <c r="AB233" s="291" t="s">
        <v>872</v>
      </c>
      <c r="AC233" s="291" t="s">
        <v>872</v>
      </c>
      <c r="AD233" s="291" t="s">
        <v>872</v>
      </c>
      <c r="AE233" s="291"/>
      <c r="AF233" s="290"/>
      <c r="AG233" s="368"/>
      <c r="AH233" s="369"/>
    </row>
    <row r="234" spans="1:34" ht="12.75">
      <c r="A234" s="374"/>
      <c r="B234" s="245"/>
      <c r="C234" s="241"/>
      <c r="D234" s="242"/>
      <c r="E234" s="242"/>
      <c r="F234" s="242"/>
      <c r="G234" s="242"/>
      <c r="H234" s="243"/>
      <c r="I234" s="292"/>
      <c r="J234" s="243"/>
      <c r="K234" s="243"/>
      <c r="L234" s="256"/>
      <c r="M234" s="256"/>
      <c r="N234" s="256"/>
      <c r="O234" s="256"/>
      <c r="P234" s="256"/>
      <c r="Q234" s="256"/>
      <c r="R234" s="256"/>
      <c r="S234" s="274"/>
      <c r="T234" s="274"/>
      <c r="U234" s="274"/>
      <c r="V234" s="274"/>
      <c r="W234" s="274"/>
      <c r="X234" s="274"/>
      <c r="Y234" s="274"/>
      <c r="Z234" s="274"/>
      <c r="AA234" s="274"/>
      <c r="AB234" s="274"/>
      <c r="AC234" s="274"/>
      <c r="AD234" s="274"/>
      <c r="AE234" s="274"/>
      <c r="AF234" s="246">
        <f>SUM(AE233:AE233)</f>
        <v>0</v>
      </c>
      <c r="AG234" s="366"/>
      <c r="AH234" s="363"/>
    </row>
    <row r="235" spans="1:34" ht="12.75">
      <c r="A235" s="244" t="s">
        <v>697</v>
      </c>
      <c r="B235" s="229" t="s">
        <v>568</v>
      </c>
      <c r="C235" s="213" t="s">
        <v>873</v>
      </c>
      <c r="D235" s="230"/>
      <c r="E235" s="230">
        <v>8</v>
      </c>
      <c r="F235" s="230">
        <v>11</v>
      </c>
      <c r="G235" s="230">
        <v>13.3</v>
      </c>
      <c r="H235" s="255">
        <v>13</v>
      </c>
      <c r="I235" s="239">
        <v>13</v>
      </c>
      <c r="J235" s="239"/>
      <c r="K235" s="239"/>
      <c r="L235" s="255">
        <v>16</v>
      </c>
      <c r="M235" s="255">
        <v>15</v>
      </c>
      <c r="N235" s="255">
        <v>19.25</v>
      </c>
      <c r="O235" s="255">
        <v>0</v>
      </c>
      <c r="P235" s="255">
        <v>18</v>
      </c>
      <c r="Q235" s="255">
        <v>18</v>
      </c>
      <c r="R235" s="255">
        <v>17.1</v>
      </c>
      <c r="S235" s="278">
        <v>12.35</v>
      </c>
      <c r="T235" s="291">
        <v>16</v>
      </c>
      <c r="U235" s="291">
        <v>16.15</v>
      </c>
      <c r="V235" s="291">
        <v>19</v>
      </c>
      <c r="W235" s="291">
        <v>21.2</v>
      </c>
      <c r="X235" s="291">
        <v>18.9</v>
      </c>
      <c r="Y235" s="291">
        <v>20</v>
      </c>
      <c r="Z235" s="291">
        <v>22</v>
      </c>
      <c r="AA235" s="291">
        <v>17</v>
      </c>
      <c r="AB235" s="291">
        <v>19.15</v>
      </c>
      <c r="AC235" s="291">
        <v>22</v>
      </c>
      <c r="AD235" s="291">
        <v>28</v>
      </c>
      <c r="AE235" s="291">
        <v>19</v>
      </c>
      <c r="AF235" s="278"/>
      <c r="AG235" s="333">
        <f>(AE235-AD235)/AD235</f>
        <v>-0.32142857142857145</v>
      </c>
      <c r="AH235" s="365"/>
    </row>
    <row r="236" spans="1:34" ht="12.75">
      <c r="A236" s="373"/>
      <c r="B236" s="229"/>
      <c r="C236" s="213" t="s">
        <v>874</v>
      </c>
      <c r="D236" s="230"/>
      <c r="E236" s="230">
        <f>558.48+E240</f>
        <v>1082.63</v>
      </c>
      <c r="F236" s="230">
        <f>555+F240</f>
        <v>1109</v>
      </c>
      <c r="G236" s="230">
        <f>637+G240</f>
        <v>1222.1</v>
      </c>
      <c r="H236" s="255">
        <f>622.8+H240</f>
        <v>1190.5</v>
      </c>
      <c r="I236" s="239">
        <f>635.5+I240</f>
        <v>1206.4</v>
      </c>
      <c r="J236" s="239">
        <f>703.6+J240</f>
        <v>1224.85</v>
      </c>
      <c r="K236" s="239">
        <f>639.55+K240</f>
        <v>1185.65</v>
      </c>
      <c r="L236" s="276">
        <f>462.75+60.25+L240</f>
        <v>1088.69</v>
      </c>
      <c r="M236" s="277">
        <f>478.1+68.15+551.48</f>
        <v>1097.73</v>
      </c>
      <c r="N236" s="277">
        <v>903.29</v>
      </c>
      <c r="O236" s="277">
        <v>1539.06</v>
      </c>
      <c r="P236" s="277">
        <v>1638.43</v>
      </c>
      <c r="Q236" s="277">
        <v>1729.63</v>
      </c>
      <c r="R236" s="277">
        <f>946.05+823.69</f>
        <v>1769.74</v>
      </c>
      <c r="S236" s="278"/>
      <c r="T236" s="291">
        <v>359.32</v>
      </c>
      <c r="U236" s="291" t="s">
        <v>1067</v>
      </c>
      <c r="V236" s="291" t="s">
        <v>1067</v>
      </c>
      <c r="W236" s="291" t="s">
        <v>1067</v>
      </c>
      <c r="X236" s="291" t="s">
        <v>571</v>
      </c>
      <c r="Y236" s="291" t="s">
        <v>571</v>
      </c>
      <c r="Z236" s="291" t="s">
        <v>571</v>
      </c>
      <c r="AA236" s="291" t="s">
        <v>571</v>
      </c>
      <c r="AB236" s="291" t="s">
        <v>571</v>
      </c>
      <c r="AC236" s="291" t="s">
        <v>571</v>
      </c>
      <c r="AD236" s="291" t="s">
        <v>571</v>
      </c>
      <c r="AE236" s="291" t="s">
        <v>571</v>
      </c>
      <c r="AF236" s="278"/>
      <c r="AG236" s="367"/>
      <c r="AH236" s="365"/>
    </row>
    <row r="237" spans="1:34" ht="12.75">
      <c r="A237" s="373"/>
      <c r="B237" s="229"/>
      <c r="C237" s="213" t="s">
        <v>875</v>
      </c>
      <c r="D237" s="230"/>
      <c r="E237" s="230">
        <v>358.72</v>
      </c>
      <c r="F237" s="230">
        <v>380</v>
      </c>
      <c r="G237" s="230">
        <v>384.2</v>
      </c>
      <c r="H237" s="255">
        <v>388.9</v>
      </c>
      <c r="I237" s="239">
        <v>398.05</v>
      </c>
      <c r="J237" s="239">
        <v>357.8</v>
      </c>
      <c r="K237" s="239">
        <v>350.7</v>
      </c>
      <c r="L237" s="255">
        <v>319.85</v>
      </c>
      <c r="M237" s="255" t="s">
        <v>876</v>
      </c>
      <c r="N237" s="255" t="s">
        <v>876</v>
      </c>
      <c r="O237" s="255" t="s">
        <v>876</v>
      </c>
      <c r="P237" s="255" t="s">
        <v>876</v>
      </c>
      <c r="Q237" s="255" t="s">
        <v>876</v>
      </c>
      <c r="R237" s="255" t="s">
        <v>876</v>
      </c>
      <c r="S237" s="255" t="s">
        <v>876</v>
      </c>
      <c r="T237" s="307" t="s">
        <v>876</v>
      </c>
      <c r="U237" s="307" t="s">
        <v>876</v>
      </c>
      <c r="V237" s="307" t="s">
        <v>876</v>
      </c>
      <c r="W237" s="307" t="s">
        <v>876</v>
      </c>
      <c r="X237" s="307" t="s">
        <v>572</v>
      </c>
      <c r="Y237" s="307" t="s">
        <v>572</v>
      </c>
      <c r="Z237" s="307" t="s">
        <v>572</v>
      </c>
      <c r="AA237" s="307" t="s">
        <v>572</v>
      </c>
      <c r="AB237" s="307" t="s">
        <v>572</v>
      </c>
      <c r="AC237" s="307" t="s">
        <v>572</v>
      </c>
      <c r="AD237" s="307" t="s">
        <v>572</v>
      </c>
      <c r="AE237" s="307" t="s">
        <v>572</v>
      </c>
      <c r="AF237" s="278"/>
      <c r="AG237" s="367"/>
      <c r="AH237" s="365"/>
    </row>
    <row r="238" spans="1:34" ht="12.75">
      <c r="A238" s="373"/>
      <c r="B238" s="229"/>
      <c r="C238" s="237" t="s">
        <v>877</v>
      </c>
      <c r="D238" s="230">
        <v>2451.58</v>
      </c>
      <c r="E238" s="230">
        <v>2643.22</v>
      </c>
      <c r="F238" s="230">
        <v>2979</v>
      </c>
      <c r="G238" s="230">
        <v>3313.2</v>
      </c>
      <c r="H238" s="255">
        <v>4025.3</v>
      </c>
      <c r="I238" s="255">
        <v>3454.65</v>
      </c>
      <c r="J238" s="255">
        <v>3852</v>
      </c>
      <c r="K238" s="255">
        <f>1900.28+2054.5</f>
        <v>3954.7799999999997</v>
      </c>
      <c r="L238" s="239">
        <f>1065.45+280.45+578.1+433.55+417.05+513.45</f>
        <v>3288.05</v>
      </c>
      <c r="M238" s="239">
        <v>3187.32</v>
      </c>
      <c r="N238" s="239">
        <v>3260.34</v>
      </c>
      <c r="O238" s="239">
        <v>2842.55</v>
      </c>
      <c r="P238" s="239">
        <v>2856.35</v>
      </c>
      <c r="Q238" s="239">
        <v>2771.67</v>
      </c>
      <c r="R238" s="239">
        <f>1443.53+1491.62</f>
        <v>2935.1499999999996</v>
      </c>
      <c r="S238" s="278">
        <v>3147.28</v>
      </c>
      <c r="T238" s="291">
        <v>3208.25</v>
      </c>
      <c r="U238" s="291">
        <v>3164.6</v>
      </c>
      <c r="V238" s="291">
        <v>3175.05</v>
      </c>
      <c r="W238" s="291">
        <v>3008.28</v>
      </c>
      <c r="X238" s="291">
        <v>2884.69</v>
      </c>
      <c r="Y238" s="291">
        <v>2842.27</v>
      </c>
      <c r="Z238" s="291">
        <v>2813.16</v>
      </c>
      <c r="AA238" s="291">
        <v>2893.07</v>
      </c>
      <c r="AB238" s="291">
        <v>2904.7</v>
      </c>
      <c r="AC238" s="291">
        <v>3085.73</v>
      </c>
      <c r="AD238" s="291">
        <v>3169.93</v>
      </c>
      <c r="AE238" s="291">
        <v>3154.8100000000004</v>
      </c>
      <c r="AF238" s="278"/>
      <c r="AG238" s="333">
        <f>(AE238-AD238)/AD238</f>
        <v>-0.004769821415614679</v>
      </c>
      <c r="AH238" s="365"/>
    </row>
    <row r="239" spans="1:34" ht="12.75">
      <c r="A239" s="373"/>
      <c r="B239" s="229"/>
      <c r="C239" s="237" t="s">
        <v>1289</v>
      </c>
      <c r="D239" s="230">
        <v>39.5</v>
      </c>
      <c r="E239" s="230">
        <v>42</v>
      </c>
      <c r="F239" s="230">
        <v>41</v>
      </c>
      <c r="G239" s="230">
        <v>48</v>
      </c>
      <c r="H239" s="255">
        <v>54.2</v>
      </c>
      <c r="I239" s="255">
        <v>54.25</v>
      </c>
      <c r="J239" s="255">
        <v>61.85</v>
      </c>
      <c r="K239" s="255">
        <v>69</v>
      </c>
      <c r="L239" s="255">
        <v>54</v>
      </c>
      <c r="M239" s="255">
        <v>55</v>
      </c>
      <c r="N239" s="255">
        <v>48.8</v>
      </c>
      <c r="O239" s="255">
        <v>36.85</v>
      </c>
      <c r="P239" s="255">
        <v>38.68</v>
      </c>
      <c r="Q239" s="255">
        <v>50.4</v>
      </c>
      <c r="R239" s="255">
        <v>60.5</v>
      </c>
      <c r="S239" s="278">
        <v>49.5</v>
      </c>
      <c r="T239" s="291">
        <v>49</v>
      </c>
      <c r="U239" s="291">
        <v>44</v>
      </c>
      <c r="V239" s="291">
        <v>42.7</v>
      </c>
      <c r="W239" s="291">
        <v>36.1</v>
      </c>
      <c r="X239" s="291">
        <v>42.6</v>
      </c>
      <c r="Y239" s="291">
        <v>38</v>
      </c>
      <c r="Z239" s="291">
        <v>43</v>
      </c>
      <c r="AA239" s="291">
        <v>38.6</v>
      </c>
      <c r="AB239" s="291">
        <v>28</v>
      </c>
      <c r="AC239" s="291">
        <v>31</v>
      </c>
      <c r="AD239" s="291">
        <v>32.25</v>
      </c>
      <c r="AE239" s="291">
        <v>33</v>
      </c>
      <c r="AF239" s="278"/>
      <c r="AG239" s="333">
        <f>(AE239-AD239)/AD239</f>
        <v>0.023255813953488372</v>
      </c>
      <c r="AH239" s="365"/>
    </row>
    <row r="240" spans="1:34" ht="12.75">
      <c r="A240" s="373"/>
      <c r="B240" s="229"/>
      <c r="C240" s="237" t="s">
        <v>878</v>
      </c>
      <c r="D240" s="230">
        <v>1120</v>
      </c>
      <c r="E240" s="230">
        <v>524.15</v>
      </c>
      <c r="F240" s="230">
        <v>554</v>
      </c>
      <c r="G240" s="230">
        <v>585.1</v>
      </c>
      <c r="H240" s="255">
        <v>567.7</v>
      </c>
      <c r="I240" s="255">
        <v>570.9</v>
      </c>
      <c r="J240" s="255">
        <v>521.25</v>
      </c>
      <c r="K240" s="255">
        <v>546.1</v>
      </c>
      <c r="L240" s="239">
        <v>565.69</v>
      </c>
      <c r="M240" s="239" t="s">
        <v>879</v>
      </c>
      <c r="N240" s="239" t="s">
        <v>879</v>
      </c>
      <c r="O240" s="239" t="s">
        <v>879</v>
      </c>
      <c r="P240" s="239" t="s">
        <v>879</v>
      </c>
      <c r="Q240" s="239" t="s">
        <v>879</v>
      </c>
      <c r="R240" s="239" t="s">
        <v>879</v>
      </c>
      <c r="S240" s="278">
        <v>1696.69</v>
      </c>
      <c r="T240" s="291">
        <v>1703.07</v>
      </c>
      <c r="U240" s="291">
        <v>1852.2</v>
      </c>
      <c r="V240" s="291">
        <v>1893.07</v>
      </c>
      <c r="W240" s="291">
        <v>1877.63</v>
      </c>
      <c r="X240" s="291">
        <v>1706.71</v>
      </c>
      <c r="Y240" s="291">
        <v>1768.11</v>
      </c>
      <c r="Z240" s="291">
        <v>1702.02</v>
      </c>
      <c r="AA240" s="291">
        <v>1721.65</v>
      </c>
      <c r="AB240" s="291">
        <v>1757.8</v>
      </c>
      <c r="AC240" s="291">
        <v>1713.8</v>
      </c>
      <c r="AD240" s="291">
        <v>1664.69</v>
      </c>
      <c r="AE240" s="291">
        <v>1655.68</v>
      </c>
      <c r="AF240" s="278"/>
      <c r="AG240" s="333">
        <f>(AE240-AD240)/AD240</f>
        <v>-0.005412419129087092</v>
      </c>
      <c r="AH240" s="365"/>
    </row>
    <row r="241" spans="1:34" ht="12.75">
      <c r="A241" s="373"/>
      <c r="B241" s="229"/>
      <c r="C241" s="237" t="s">
        <v>880</v>
      </c>
      <c r="D241" s="230">
        <f>227.3+D246+D247+D249</f>
        <v>227.3</v>
      </c>
      <c r="E241" s="230">
        <f>112.25+E246+E247+E249</f>
        <v>382.48</v>
      </c>
      <c r="F241" s="230">
        <f>124+F246+F247+F249</f>
        <v>451</v>
      </c>
      <c r="G241" s="230">
        <f>142.6+G246+G247+G249</f>
        <v>473</v>
      </c>
      <c r="H241" s="255">
        <f>193.1+H246+H247+H249</f>
        <v>580.3</v>
      </c>
      <c r="I241" s="255">
        <f>200.4+I246+I247+I249</f>
        <v>611.8000000000001</v>
      </c>
      <c r="J241" s="255">
        <f>226.95+J246+J247+J249</f>
        <v>622.15</v>
      </c>
      <c r="K241" s="255">
        <f>241.1+K246+K247+K249</f>
        <v>629.38</v>
      </c>
      <c r="L241" s="239">
        <f>231.88+L246+L247+L249</f>
        <v>616.61</v>
      </c>
      <c r="M241" s="239">
        <v>566.83</v>
      </c>
      <c r="N241" s="239">
        <v>536.59</v>
      </c>
      <c r="O241" s="239">
        <v>331.78</v>
      </c>
      <c r="P241" s="239">
        <v>329.65</v>
      </c>
      <c r="Q241" s="239">
        <v>339.9</v>
      </c>
      <c r="R241" s="239">
        <f>136.8+181.6</f>
        <v>318.4</v>
      </c>
      <c r="S241" s="278">
        <v>314.2</v>
      </c>
      <c r="T241" s="291">
        <v>313.2</v>
      </c>
      <c r="U241" s="291">
        <v>292.9</v>
      </c>
      <c r="V241" s="291">
        <v>297.4</v>
      </c>
      <c r="W241" s="291">
        <v>277.4</v>
      </c>
      <c r="X241" s="291">
        <v>324.2</v>
      </c>
      <c r="Y241" s="291">
        <v>300.8</v>
      </c>
      <c r="Z241" s="291">
        <v>275.35</v>
      </c>
      <c r="AA241" s="291">
        <v>285.35</v>
      </c>
      <c r="AB241" s="291">
        <v>296.6</v>
      </c>
      <c r="AC241" s="291">
        <v>315.5</v>
      </c>
      <c r="AD241" s="291">
        <v>324.9</v>
      </c>
      <c r="AE241" s="291">
        <v>308.6</v>
      </c>
      <c r="AF241" s="278"/>
      <c r="AG241" s="333">
        <f>(AE241-AD241)/AD241</f>
        <v>-0.05016928285626333</v>
      </c>
      <c r="AH241" s="365"/>
    </row>
    <row r="242" spans="1:34" ht="12.75">
      <c r="A242" s="373"/>
      <c r="B242" s="229"/>
      <c r="C242" s="237" t="s">
        <v>881</v>
      </c>
      <c r="D242" s="230">
        <f>2592.7+D237+D245</f>
        <v>2592.7</v>
      </c>
      <c r="E242" s="230">
        <f>2446.35+E237+E245</f>
        <v>2873.0699999999997</v>
      </c>
      <c r="F242" s="230">
        <f>2511+F237+F245</f>
        <v>2970</v>
      </c>
      <c r="G242" s="230">
        <f>2576.2+G237+G245</f>
        <v>3037.4999999999995</v>
      </c>
      <c r="H242" s="239">
        <f>2238+H237+H245</f>
        <v>2718</v>
      </c>
      <c r="I242" s="255">
        <f>2346.48+I237+I245</f>
        <v>2846.53</v>
      </c>
      <c r="J242" s="255">
        <f>2470+J237+J245</f>
        <v>2931.25</v>
      </c>
      <c r="K242" s="255">
        <f>1155.13+1453.9+K237+K245</f>
        <v>3070.08</v>
      </c>
      <c r="L242" s="239">
        <f>408.98+465.1+248.45+525.6+979.55+L237+L245</f>
        <v>3029.8300000000004</v>
      </c>
      <c r="M242" s="239">
        <v>2982.01</v>
      </c>
      <c r="N242" s="239">
        <v>3444.1</v>
      </c>
      <c r="O242" s="239">
        <v>3044.26</v>
      </c>
      <c r="P242" s="239">
        <v>3076.63</v>
      </c>
      <c r="Q242" s="239">
        <v>3068.68</v>
      </c>
      <c r="R242" s="239">
        <f>1573.75+1629.05</f>
        <v>3202.8</v>
      </c>
      <c r="S242" s="278">
        <v>3304.06</v>
      </c>
      <c r="T242" s="291">
        <v>3270.7</v>
      </c>
      <c r="U242" s="291">
        <v>3216.11</v>
      </c>
      <c r="V242" s="291">
        <v>3181.46</v>
      </c>
      <c r="W242" s="291">
        <v>3379.12</v>
      </c>
      <c r="X242" s="291">
        <v>3380.94</v>
      </c>
      <c r="Y242" s="291">
        <v>3552.25</v>
      </c>
      <c r="Z242" s="291">
        <v>3228.3</v>
      </c>
      <c r="AA242" s="291">
        <v>3258.94</v>
      </c>
      <c r="AB242" s="291">
        <v>3241.06</v>
      </c>
      <c r="AC242" s="291">
        <v>3285.42</v>
      </c>
      <c r="AD242" s="291">
        <v>3292.19</v>
      </c>
      <c r="AE242" s="291">
        <v>3243.52</v>
      </c>
      <c r="AF242" s="278"/>
      <c r="AG242" s="333">
        <f>(AE242-AD242)/AD242</f>
        <v>-0.014783472399831138</v>
      </c>
      <c r="AH242" s="365"/>
    </row>
    <row r="243" spans="1:34" ht="12.75">
      <c r="A243" s="373"/>
      <c r="B243" s="280"/>
      <c r="C243" s="213" t="s">
        <v>882</v>
      </c>
      <c r="D243" s="230"/>
      <c r="E243" s="230"/>
      <c r="F243" s="230">
        <v>344</v>
      </c>
      <c r="G243" s="230">
        <v>376.5</v>
      </c>
      <c r="H243" s="239">
        <v>457.6</v>
      </c>
      <c r="I243" s="239">
        <v>465.75</v>
      </c>
      <c r="J243" s="239">
        <v>427.45</v>
      </c>
      <c r="K243" s="239">
        <v>433.95</v>
      </c>
      <c r="L243" s="255">
        <v>474.85</v>
      </c>
      <c r="M243" s="255" t="s">
        <v>883</v>
      </c>
      <c r="N243" s="255" t="s">
        <v>883</v>
      </c>
      <c r="O243" s="255" t="s">
        <v>883</v>
      </c>
      <c r="P243" s="255" t="s">
        <v>883</v>
      </c>
      <c r="Q243" s="255" t="s">
        <v>883</v>
      </c>
      <c r="R243" s="255" t="s">
        <v>883</v>
      </c>
      <c r="S243" s="255" t="s">
        <v>883</v>
      </c>
      <c r="T243" s="307" t="s">
        <v>883</v>
      </c>
      <c r="U243" s="307" t="s">
        <v>883</v>
      </c>
      <c r="V243" s="307" t="s">
        <v>883</v>
      </c>
      <c r="W243" s="307" t="s">
        <v>883</v>
      </c>
      <c r="X243" s="307" t="s">
        <v>574</v>
      </c>
      <c r="Y243" s="307" t="s">
        <v>574</v>
      </c>
      <c r="Z243" s="307" t="s">
        <v>574</v>
      </c>
      <c r="AA243" s="307" t="s">
        <v>574</v>
      </c>
      <c r="AB243" s="307" t="s">
        <v>574</v>
      </c>
      <c r="AC243" s="307" t="s">
        <v>574</v>
      </c>
      <c r="AD243" s="307" t="s">
        <v>574</v>
      </c>
      <c r="AE243" s="307" t="s">
        <v>574</v>
      </c>
      <c r="AF243" s="278"/>
      <c r="AG243" s="367"/>
      <c r="AH243" s="365"/>
    </row>
    <row r="244" spans="1:34" ht="12.75">
      <c r="A244" s="249"/>
      <c r="B244" s="282"/>
      <c r="C244" s="251" t="s">
        <v>884</v>
      </c>
      <c r="D244" s="233">
        <v>13</v>
      </c>
      <c r="E244" s="233">
        <v>11</v>
      </c>
      <c r="F244" s="233">
        <v>15</v>
      </c>
      <c r="G244" s="233">
        <v>17</v>
      </c>
      <c r="H244" s="269">
        <v>18</v>
      </c>
      <c r="I244" s="293">
        <v>22</v>
      </c>
      <c r="J244" s="293">
        <v>16</v>
      </c>
      <c r="K244" s="293">
        <v>22</v>
      </c>
      <c r="L244" s="234">
        <v>15</v>
      </c>
      <c r="M244" s="234">
        <v>14</v>
      </c>
      <c r="N244" s="234">
        <v>0</v>
      </c>
      <c r="O244" s="234">
        <v>0</v>
      </c>
      <c r="P244" s="234" t="s">
        <v>687</v>
      </c>
      <c r="Q244" s="234" t="s">
        <v>687</v>
      </c>
      <c r="R244" s="234" t="s">
        <v>687</v>
      </c>
      <c r="S244" s="294" t="s">
        <v>687</v>
      </c>
      <c r="T244" s="308" t="s">
        <v>687</v>
      </c>
      <c r="U244" s="308" t="s">
        <v>687</v>
      </c>
      <c r="V244" s="308" t="s">
        <v>687</v>
      </c>
      <c r="W244" s="308" t="s">
        <v>687</v>
      </c>
      <c r="X244" s="308" t="s">
        <v>687</v>
      </c>
      <c r="Y244" s="356" t="s">
        <v>687</v>
      </c>
      <c r="Z244" s="356" t="s">
        <v>687</v>
      </c>
      <c r="AA244" s="356" t="s">
        <v>687</v>
      </c>
      <c r="AB244" s="356" t="s">
        <v>687</v>
      </c>
      <c r="AC244" s="356" t="s">
        <v>687</v>
      </c>
      <c r="AD244" s="236" t="s">
        <v>687</v>
      </c>
      <c r="AE244" s="236" t="s">
        <v>687</v>
      </c>
      <c r="AF244" s="294"/>
      <c r="AG244" s="331"/>
      <c r="AH244" s="261"/>
    </row>
    <row r="245" spans="1:34" ht="12.75">
      <c r="A245" s="373"/>
      <c r="B245" s="280"/>
      <c r="C245" s="213" t="s">
        <v>885</v>
      </c>
      <c r="D245" s="230"/>
      <c r="E245" s="230">
        <v>68</v>
      </c>
      <c r="F245" s="230">
        <v>79</v>
      </c>
      <c r="G245" s="230">
        <v>77.1</v>
      </c>
      <c r="H245" s="239">
        <v>91.1</v>
      </c>
      <c r="I245" s="239">
        <v>102</v>
      </c>
      <c r="J245" s="239">
        <v>103.45</v>
      </c>
      <c r="K245" s="239">
        <v>110.35</v>
      </c>
      <c r="L245" s="238">
        <v>82.3</v>
      </c>
      <c r="M245" s="238" t="s">
        <v>876</v>
      </c>
      <c r="N245" s="238" t="s">
        <v>876</v>
      </c>
      <c r="O245" s="238" t="s">
        <v>876</v>
      </c>
      <c r="P245" s="238" t="s">
        <v>876</v>
      </c>
      <c r="Q245" s="238" t="s">
        <v>876</v>
      </c>
      <c r="R245" s="238" t="s">
        <v>876</v>
      </c>
      <c r="S245" s="238" t="s">
        <v>876</v>
      </c>
      <c r="T245" s="266" t="s">
        <v>876</v>
      </c>
      <c r="U245" s="266" t="s">
        <v>876</v>
      </c>
      <c r="V245" s="266" t="s">
        <v>876</v>
      </c>
      <c r="W245" s="266" t="s">
        <v>876</v>
      </c>
      <c r="X245" s="266" t="s">
        <v>572</v>
      </c>
      <c r="Y245" s="266" t="s">
        <v>572</v>
      </c>
      <c r="Z245" s="307" t="s">
        <v>572</v>
      </c>
      <c r="AA245" s="307" t="s">
        <v>572</v>
      </c>
      <c r="AB245" s="307" t="s">
        <v>572</v>
      </c>
      <c r="AC245" s="307" t="s">
        <v>572</v>
      </c>
      <c r="AD245" s="307" t="s">
        <v>572</v>
      </c>
      <c r="AE245" s="307" t="s">
        <v>572</v>
      </c>
      <c r="AF245" s="278"/>
      <c r="AG245" s="367"/>
      <c r="AH245" s="365"/>
    </row>
    <row r="246" spans="1:34" ht="12.75">
      <c r="A246" s="373"/>
      <c r="B246" s="280"/>
      <c r="C246" s="213" t="s">
        <v>886</v>
      </c>
      <c r="D246" s="230"/>
      <c r="E246" s="230">
        <v>102.25</v>
      </c>
      <c r="F246" s="230">
        <v>117</v>
      </c>
      <c r="G246" s="230">
        <v>114.4</v>
      </c>
      <c r="H246" s="239">
        <v>131.7</v>
      </c>
      <c r="I246" s="239">
        <v>150.2</v>
      </c>
      <c r="J246" s="239">
        <v>129.2</v>
      </c>
      <c r="K246" s="239">
        <v>127.48</v>
      </c>
      <c r="L246" s="238">
        <v>116.55</v>
      </c>
      <c r="M246" s="238" t="s">
        <v>887</v>
      </c>
      <c r="N246" s="238" t="s">
        <v>887</v>
      </c>
      <c r="O246" s="238" t="s">
        <v>887</v>
      </c>
      <c r="P246" s="238" t="s">
        <v>887</v>
      </c>
      <c r="Q246" s="238" t="s">
        <v>887</v>
      </c>
      <c r="R246" s="238" t="s">
        <v>887</v>
      </c>
      <c r="S246" s="238" t="s">
        <v>887</v>
      </c>
      <c r="T246" s="266" t="s">
        <v>887</v>
      </c>
      <c r="U246" s="266" t="s">
        <v>887</v>
      </c>
      <c r="V246" s="266" t="s">
        <v>887</v>
      </c>
      <c r="W246" s="266" t="s">
        <v>887</v>
      </c>
      <c r="X246" s="266" t="s">
        <v>1096</v>
      </c>
      <c r="Y246" s="266" t="s">
        <v>1096</v>
      </c>
      <c r="Z246" s="266" t="s">
        <v>1096</v>
      </c>
      <c r="AA246" s="266" t="s">
        <v>1096</v>
      </c>
      <c r="AB246" s="266" t="s">
        <v>1096</v>
      </c>
      <c r="AC246" s="266" t="s">
        <v>1096</v>
      </c>
      <c r="AD246" s="266" t="s">
        <v>1096</v>
      </c>
      <c r="AE246" s="266" t="s">
        <v>1096</v>
      </c>
      <c r="AF246" s="278"/>
      <c r="AG246" s="367"/>
      <c r="AH246" s="365"/>
    </row>
    <row r="247" spans="1:34" ht="12.75">
      <c r="A247" s="373"/>
      <c r="B247" s="280"/>
      <c r="C247" s="213" t="s">
        <v>888</v>
      </c>
      <c r="D247" s="230"/>
      <c r="E247" s="230">
        <v>42.5</v>
      </c>
      <c r="F247" s="230">
        <v>55</v>
      </c>
      <c r="G247" s="230">
        <v>50.6</v>
      </c>
      <c r="H247" s="239">
        <v>57.7</v>
      </c>
      <c r="I247" s="239">
        <v>53.8</v>
      </c>
      <c r="J247" s="239">
        <v>48.7</v>
      </c>
      <c r="K247" s="239">
        <v>44.1</v>
      </c>
      <c r="L247" s="238">
        <v>46.33</v>
      </c>
      <c r="M247" s="238" t="s">
        <v>887</v>
      </c>
      <c r="N247" s="238" t="s">
        <v>887</v>
      </c>
      <c r="O247" s="238" t="s">
        <v>887</v>
      </c>
      <c r="P247" s="238" t="s">
        <v>887</v>
      </c>
      <c r="Q247" s="238" t="s">
        <v>887</v>
      </c>
      <c r="R247" s="238" t="s">
        <v>887</v>
      </c>
      <c r="S247" s="238" t="s">
        <v>887</v>
      </c>
      <c r="T247" s="266" t="s">
        <v>887</v>
      </c>
      <c r="U247" s="266" t="s">
        <v>887</v>
      </c>
      <c r="V247" s="266" t="s">
        <v>887</v>
      </c>
      <c r="W247" s="266" t="s">
        <v>887</v>
      </c>
      <c r="X247" s="266" t="s">
        <v>1096</v>
      </c>
      <c r="Y247" s="266" t="s">
        <v>1096</v>
      </c>
      <c r="Z247" s="266" t="s">
        <v>1096</v>
      </c>
      <c r="AA247" s="266" t="s">
        <v>1096</v>
      </c>
      <c r="AB247" s="266" t="s">
        <v>1096</v>
      </c>
      <c r="AC247" s="266" t="s">
        <v>1096</v>
      </c>
      <c r="AD247" s="266" t="s">
        <v>1096</v>
      </c>
      <c r="AE247" s="266" t="s">
        <v>1096</v>
      </c>
      <c r="AF247" s="278"/>
      <c r="AG247" s="367"/>
      <c r="AH247" s="365"/>
    </row>
    <row r="248" spans="1:34" ht="12.75">
      <c r="A248" s="373"/>
      <c r="B248" s="280"/>
      <c r="C248" s="237" t="s">
        <v>889</v>
      </c>
      <c r="D248" s="230">
        <v>3015.7</v>
      </c>
      <c r="E248" s="230">
        <v>3098.93</v>
      </c>
      <c r="F248" s="230">
        <f>2757+F243</f>
        <v>3101</v>
      </c>
      <c r="G248" s="230">
        <f>2836.1+G243</f>
        <v>3212.6</v>
      </c>
      <c r="H248" s="239">
        <f>2837.1+H243</f>
        <v>3294.7</v>
      </c>
      <c r="I248" s="255">
        <f>3362.9+I243</f>
        <v>3828.65</v>
      </c>
      <c r="J248" s="255">
        <f>3216.58+J243</f>
        <v>3644.0299999999997</v>
      </c>
      <c r="K248" s="255">
        <f>1680.6+1731.95+K243</f>
        <v>3846.5</v>
      </c>
      <c r="L248" s="238">
        <f>521.1+415.35+427.23+914.25+1022.5+207.9+L243</f>
        <v>3983.1800000000003</v>
      </c>
      <c r="M248" s="238">
        <v>3979.19</v>
      </c>
      <c r="N248" s="238">
        <v>3907.07</v>
      </c>
      <c r="O248" s="238">
        <v>4679.09</v>
      </c>
      <c r="P248" s="238">
        <v>4774.75</v>
      </c>
      <c r="Q248" s="238">
        <v>5045.11</v>
      </c>
      <c r="R248" s="238">
        <f>2886.1+2373.84</f>
        <v>5259.9400000000005</v>
      </c>
      <c r="S248" s="278">
        <v>5294.9</v>
      </c>
      <c r="T248" s="291">
        <v>5793.25</v>
      </c>
      <c r="U248" s="291">
        <v>6045.22</v>
      </c>
      <c r="V248" s="291">
        <v>6012.69</v>
      </c>
      <c r="W248" s="291">
        <v>6162.87</v>
      </c>
      <c r="X248" s="291">
        <v>6277.84</v>
      </c>
      <c r="Y248" s="291">
        <v>6266.02</v>
      </c>
      <c r="Z248" s="291">
        <v>6445.91</v>
      </c>
      <c r="AA248" s="291">
        <v>6475.4</v>
      </c>
      <c r="AB248" s="291">
        <v>6480.93</v>
      </c>
      <c r="AC248" s="291">
        <v>6949.14</v>
      </c>
      <c r="AD248" s="291">
        <v>7006.82</v>
      </c>
      <c r="AE248" s="291">
        <v>7066.17</v>
      </c>
      <c r="AF248" s="278"/>
      <c r="AG248" s="333">
        <f>(AE248-AD248)/AD248</f>
        <v>0.008470318917854372</v>
      </c>
      <c r="AH248" s="365"/>
    </row>
    <row r="249" spans="1:34" ht="12.75">
      <c r="A249" s="373"/>
      <c r="B249" s="370"/>
      <c r="C249" s="213" t="s">
        <v>890</v>
      </c>
      <c r="D249" s="230"/>
      <c r="E249" s="230">
        <v>125.48</v>
      </c>
      <c r="F249" s="230">
        <v>155</v>
      </c>
      <c r="G249" s="230">
        <v>165.4</v>
      </c>
      <c r="H249" s="239">
        <v>197.8</v>
      </c>
      <c r="I249" s="238">
        <v>207.4</v>
      </c>
      <c r="J249" s="238">
        <v>217.3</v>
      </c>
      <c r="K249" s="238">
        <v>216.7</v>
      </c>
      <c r="L249" s="238">
        <v>221.85</v>
      </c>
      <c r="M249" s="238" t="s">
        <v>1184</v>
      </c>
      <c r="N249" s="238" t="s">
        <v>1184</v>
      </c>
      <c r="O249" s="238" t="s">
        <v>1184</v>
      </c>
      <c r="P249" s="238" t="s">
        <v>1184</v>
      </c>
      <c r="Q249" s="238" t="s">
        <v>1184</v>
      </c>
      <c r="R249" s="238" t="s">
        <v>1184</v>
      </c>
      <c r="S249" s="238" t="s">
        <v>1184</v>
      </c>
      <c r="T249" s="266" t="s">
        <v>571</v>
      </c>
      <c r="U249" s="266" t="s">
        <v>1067</v>
      </c>
      <c r="V249" s="266" t="s">
        <v>1067</v>
      </c>
      <c r="W249" s="266" t="s">
        <v>1067</v>
      </c>
      <c r="X249" s="266" t="s">
        <v>571</v>
      </c>
      <c r="Y249" s="266" t="s">
        <v>571</v>
      </c>
      <c r="Z249" s="266" t="s">
        <v>571</v>
      </c>
      <c r="AA249" s="266" t="s">
        <v>571</v>
      </c>
      <c r="AB249" s="266" t="s">
        <v>571</v>
      </c>
      <c r="AC249" s="266" t="s">
        <v>571</v>
      </c>
      <c r="AD249" s="266" t="s">
        <v>571</v>
      </c>
      <c r="AE249" s="266" t="s">
        <v>571</v>
      </c>
      <c r="AF249" s="278"/>
      <c r="AG249" s="367"/>
      <c r="AH249" s="365"/>
    </row>
    <row r="250" spans="1:34" ht="12.75">
      <c r="A250" s="374"/>
      <c r="B250" s="364"/>
      <c r="C250" s="363"/>
      <c r="D250" s="242"/>
      <c r="E250" s="242"/>
      <c r="F250" s="242"/>
      <c r="G250" s="242"/>
      <c r="H250" s="243"/>
      <c r="I250" s="256"/>
      <c r="J250" s="243"/>
      <c r="K250" s="243"/>
      <c r="L250" s="243"/>
      <c r="M250" s="295">
        <f>SUM(M235:M249)</f>
        <v>11897.08</v>
      </c>
      <c r="N250" s="295">
        <f>SUM(N235:N249)</f>
        <v>12119.44</v>
      </c>
      <c r="O250" s="295">
        <f>SUM(O235:O249)</f>
        <v>12473.59</v>
      </c>
      <c r="P250" s="295">
        <f>SUM(P235:P249)</f>
        <v>12732.49</v>
      </c>
      <c r="Q250" s="295">
        <f>SUM(Q235:Q249)</f>
        <v>13023.39</v>
      </c>
      <c r="R250" s="242"/>
      <c r="S250" s="242"/>
      <c r="T250" s="242"/>
      <c r="U250" s="242"/>
      <c r="V250" s="242"/>
      <c r="W250" s="242"/>
      <c r="X250" s="242"/>
      <c r="Y250" s="242"/>
      <c r="Z250" s="242"/>
      <c r="AA250" s="242"/>
      <c r="AB250" s="242"/>
      <c r="AC250" s="242"/>
      <c r="AD250" s="242"/>
      <c r="AE250" s="242"/>
      <c r="AF250" s="243">
        <f>SUM(AE235:AE249)</f>
        <v>15480.78</v>
      </c>
      <c r="AG250" s="366"/>
      <c r="AH250" s="363"/>
    </row>
    <row r="251" spans="1:34" ht="12.75">
      <c r="A251" s="244" t="s">
        <v>697</v>
      </c>
      <c r="B251" s="229" t="s">
        <v>575</v>
      </c>
      <c r="C251" s="237" t="s">
        <v>575</v>
      </c>
      <c r="D251" s="230">
        <v>195.8</v>
      </c>
      <c r="E251" s="230">
        <v>191.5</v>
      </c>
      <c r="F251" s="230">
        <v>196.85</v>
      </c>
      <c r="G251" s="230">
        <v>184.95</v>
      </c>
      <c r="H251" s="238">
        <v>162.91</v>
      </c>
      <c r="I251" s="238">
        <v>161</v>
      </c>
      <c r="J251" s="238">
        <v>173.45</v>
      </c>
      <c r="K251" s="238">
        <v>220</v>
      </c>
      <c r="L251" s="238">
        <v>144</v>
      </c>
      <c r="M251" s="238">
        <v>135</v>
      </c>
      <c r="N251" s="238">
        <v>144.75</v>
      </c>
      <c r="O251" s="238">
        <v>186.5</v>
      </c>
      <c r="P251" s="238">
        <v>203.5</v>
      </c>
      <c r="Q251" s="238">
        <v>207.1</v>
      </c>
      <c r="R251" s="238">
        <v>200.25</v>
      </c>
      <c r="S251" s="215">
        <v>224.55</v>
      </c>
      <c r="T251" s="216">
        <v>215.05</v>
      </c>
      <c r="U251" s="216">
        <v>215.5</v>
      </c>
      <c r="V251" s="216">
        <v>202.3</v>
      </c>
      <c r="W251" s="216">
        <v>199.75</v>
      </c>
      <c r="X251" s="216">
        <v>201.95</v>
      </c>
      <c r="Y251" s="216">
        <v>196.05</v>
      </c>
      <c r="Z251" s="216">
        <v>204.8</v>
      </c>
      <c r="AA251" s="216">
        <v>201.7</v>
      </c>
      <c r="AB251" s="216">
        <v>176.5</v>
      </c>
      <c r="AC251" s="216">
        <v>178.08</v>
      </c>
      <c r="AD251" s="216">
        <v>171.75</v>
      </c>
      <c r="AE251" s="216">
        <v>181.4</v>
      </c>
      <c r="AF251" s="215"/>
      <c r="AG251" s="333">
        <f>(AE251-AD251)/AD251</f>
        <v>0.056186317321688536</v>
      </c>
      <c r="AH251" s="365"/>
    </row>
    <row r="252" spans="1:34" ht="12.75">
      <c r="A252" s="374"/>
      <c r="B252" s="245"/>
      <c r="C252" s="241"/>
      <c r="D252" s="242"/>
      <c r="E252" s="242"/>
      <c r="F252" s="242"/>
      <c r="G252" s="242"/>
      <c r="H252" s="243"/>
      <c r="I252" s="243"/>
      <c r="J252" s="243"/>
      <c r="K252" s="243"/>
      <c r="L252" s="243"/>
      <c r="M252" s="243"/>
      <c r="N252" s="243"/>
      <c r="O252" s="243"/>
      <c r="P252" s="243"/>
      <c r="Q252" s="243"/>
      <c r="R252" s="243"/>
      <c r="S252" s="246"/>
      <c r="T252" s="246"/>
      <c r="U252" s="246"/>
      <c r="V252" s="246"/>
      <c r="W252" s="246"/>
      <c r="X252" s="246"/>
      <c r="Y252" s="246"/>
      <c r="Z252" s="246"/>
      <c r="AA252" s="246"/>
      <c r="AB252" s="246"/>
      <c r="AC252" s="246"/>
      <c r="AD252" s="246"/>
      <c r="AE252" s="246"/>
      <c r="AF252" s="246">
        <f>SUM(AE251:AE251)</f>
        <v>181.4</v>
      </c>
      <c r="AG252" s="366"/>
      <c r="AH252" s="363"/>
    </row>
    <row r="253" spans="1:34" ht="12.75">
      <c r="A253" s="244" t="s">
        <v>697</v>
      </c>
      <c r="B253" s="229" t="s">
        <v>577</v>
      </c>
      <c r="C253" s="237" t="s">
        <v>577</v>
      </c>
      <c r="D253" s="230">
        <v>777.95</v>
      </c>
      <c r="E253" s="230">
        <v>776</v>
      </c>
      <c r="F253" s="230">
        <v>721.15</v>
      </c>
      <c r="G253" s="230">
        <v>711.75</v>
      </c>
      <c r="H253" s="238">
        <v>701.75</v>
      </c>
      <c r="I253" s="238">
        <v>719.7</v>
      </c>
      <c r="J253" s="238">
        <v>776.55</v>
      </c>
      <c r="K253" s="238">
        <f>459.5+336.7</f>
        <v>796.2</v>
      </c>
      <c r="L253" s="247">
        <f>476.9+299.35+18.5+21.15</f>
        <v>815.9</v>
      </c>
      <c r="M253" s="248">
        <v>758.2</v>
      </c>
      <c r="N253" s="248">
        <f>14.2+23.85+292.5+431.2</f>
        <v>761.75</v>
      </c>
      <c r="O253" s="248">
        <v>732.7</v>
      </c>
      <c r="P253" s="248">
        <v>726.1</v>
      </c>
      <c r="Q253" s="248">
        <f>705.1</f>
        <v>705.1</v>
      </c>
      <c r="R253" s="248">
        <v>767.4</v>
      </c>
      <c r="S253" s="215">
        <v>749.85</v>
      </c>
      <c r="T253" s="216">
        <v>744.55</v>
      </c>
      <c r="U253" s="216">
        <v>701.47</v>
      </c>
      <c r="V253" s="216">
        <v>651.21</v>
      </c>
      <c r="W253" s="216">
        <v>643.05</v>
      </c>
      <c r="X253" s="216">
        <v>653.75</v>
      </c>
      <c r="Y253" s="216">
        <v>659.75</v>
      </c>
      <c r="Z253" s="216">
        <v>680.65</v>
      </c>
      <c r="AA253" s="216">
        <v>682.15</v>
      </c>
      <c r="AB253" s="216">
        <v>685.6</v>
      </c>
      <c r="AC253" s="216">
        <v>702.95</v>
      </c>
      <c r="AD253" s="216">
        <v>670.5</v>
      </c>
      <c r="AE253" s="216">
        <v>674.25</v>
      </c>
      <c r="AF253" s="215"/>
      <c r="AG253" s="333">
        <f>(AE253-AD253)/AD253</f>
        <v>0.005592841163310962</v>
      </c>
      <c r="AH253" s="365"/>
    </row>
    <row r="254" spans="1:34" ht="12.75">
      <c r="A254" s="374"/>
      <c r="B254" s="245"/>
      <c r="C254" s="241"/>
      <c r="D254" s="242"/>
      <c r="E254" s="242"/>
      <c r="F254" s="242"/>
      <c r="G254" s="242"/>
      <c r="H254" s="243"/>
      <c r="I254" s="243"/>
      <c r="J254" s="243"/>
      <c r="K254" s="243"/>
      <c r="L254" s="243"/>
      <c r="M254" s="243"/>
      <c r="N254" s="243"/>
      <c r="O254" s="243"/>
      <c r="P254" s="243"/>
      <c r="Q254" s="243"/>
      <c r="R254" s="243"/>
      <c r="S254" s="246"/>
      <c r="T254" s="246"/>
      <c r="U254" s="246"/>
      <c r="V254" s="246"/>
      <c r="W254" s="246"/>
      <c r="X254" s="246"/>
      <c r="Y254" s="246"/>
      <c r="Z254" s="246"/>
      <c r="AA254" s="246"/>
      <c r="AB254" s="246"/>
      <c r="AC254" s="246"/>
      <c r="AD254" s="246"/>
      <c r="AE254" s="246"/>
      <c r="AF254" s="246">
        <f>SUM(AE253:AE253)</f>
        <v>674.25</v>
      </c>
      <c r="AG254" s="366"/>
      <c r="AH254" s="363"/>
    </row>
    <row r="255" spans="1:34" ht="12.75">
      <c r="A255" s="244" t="s">
        <v>697</v>
      </c>
      <c r="B255" s="229" t="s">
        <v>579</v>
      </c>
      <c r="C255" s="237" t="s">
        <v>891</v>
      </c>
      <c r="D255" s="230">
        <v>70.35</v>
      </c>
      <c r="E255" s="230">
        <v>84</v>
      </c>
      <c r="F255" s="230">
        <v>84.15</v>
      </c>
      <c r="G255" s="230">
        <v>79.75</v>
      </c>
      <c r="H255" s="238">
        <v>84.5</v>
      </c>
      <c r="I255" s="238">
        <v>91.5</v>
      </c>
      <c r="J255" s="238">
        <v>96</v>
      </c>
      <c r="K255" s="238">
        <v>81.25</v>
      </c>
      <c r="L255" s="238">
        <v>85.3</v>
      </c>
      <c r="M255" s="238">
        <v>73</v>
      </c>
      <c r="N255" s="238">
        <v>91.35</v>
      </c>
      <c r="O255" s="238">
        <v>90.1</v>
      </c>
      <c r="P255" s="238">
        <v>83.95</v>
      </c>
      <c r="Q255" s="238">
        <v>67.75</v>
      </c>
      <c r="R255" s="238">
        <v>75</v>
      </c>
      <c r="S255" s="215">
        <v>83</v>
      </c>
      <c r="T255" s="216">
        <v>79.1</v>
      </c>
      <c r="U255" s="216">
        <v>71.25</v>
      </c>
      <c r="V255" s="216">
        <v>76.6</v>
      </c>
      <c r="W255" s="216">
        <v>76.5</v>
      </c>
      <c r="X255" s="216">
        <v>71.7</v>
      </c>
      <c r="Y255" s="216">
        <v>77.25</v>
      </c>
      <c r="Z255" s="216">
        <v>83.6</v>
      </c>
      <c r="AA255" s="216">
        <v>88</v>
      </c>
      <c r="AB255" s="216">
        <v>80.9</v>
      </c>
      <c r="AC255" s="216">
        <v>81.6</v>
      </c>
      <c r="AD255" s="216">
        <v>97.1</v>
      </c>
      <c r="AE255" s="216">
        <v>83.69999999999999</v>
      </c>
      <c r="AF255" s="215"/>
      <c r="AG255" s="333">
        <f aca="true" t="shared" si="9" ref="AG255:AG262">(AE255-AD255)/AD255</f>
        <v>-0.13800205973223487</v>
      </c>
      <c r="AH255" s="365"/>
    </row>
    <row r="256" spans="1:34" ht="12.75">
      <c r="A256" s="373"/>
      <c r="B256" s="229"/>
      <c r="C256" s="237" t="s">
        <v>892</v>
      </c>
      <c r="D256" s="230">
        <v>46.85</v>
      </c>
      <c r="E256" s="230">
        <v>42</v>
      </c>
      <c r="F256" s="230">
        <v>46.25</v>
      </c>
      <c r="G256" s="230">
        <v>44.75</v>
      </c>
      <c r="H256" s="238">
        <v>46.95</v>
      </c>
      <c r="I256" s="238">
        <v>53.6</v>
      </c>
      <c r="J256" s="238">
        <v>58.38</v>
      </c>
      <c r="K256" s="238">
        <v>66</v>
      </c>
      <c r="L256" s="238">
        <v>79.4</v>
      </c>
      <c r="M256" s="238">
        <v>72</v>
      </c>
      <c r="N256" s="238">
        <v>73.5</v>
      </c>
      <c r="O256" s="238">
        <v>74.7</v>
      </c>
      <c r="P256" s="238">
        <v>84.75</v>
      </c>
      <c r="Q256" s="238">
        <v>77.45</v>
      </c>
      <c r="R256" s="238">
        <v>82.75</v>
      </c>
      <c r="S256" s="215">
        <v>89.95</v>
      </c>
      <c r="T256" s="216">
        <v>81.3</v>
      </c>
      <c r="U256" s="216">
        <v>87.75</v>
      </c>
      <c r="V256" s="216">
        <v>70.55</v>
      </c>
      <c r="W256" s="216">
        <v>69.4</v>
      </c>
      <c r="X256" s="216">
        <v>65.75</v>
      </c>
      <c r="Y256" s="216">
        <v>66.75</v>
      </c>
      <c r="Z256" s="216">
        <v>61</v>
      </c>
      <c r="AA256" s="216">
        <v>64.56</v>
      </c>
      <c r="AB256" s="216">
        <v>67.4</v>
      </c>
      <c r="AC256" s="216">
        <v>66.4</v>
      </c>
      <c r="AD256" s="216">
        <v>74.3</v>
      </c>
      <c r="AE256" s="216">
        <v>67.2</v>
      </c>
      <c r="AF256" s="215"/>
      <c r="AG256" s="333">
        <f t="shared" si="9"/>
        <v>-0.09555854643337812</v>
      </c>
      <c r="AH256" s="365"/>
    </row>
    <row r="257" spans="1:34" ht="12.75">
      <c r="A257" s="373"/>
      <c r="B257" s="229"/>
      <c r="C257" s="237" t="s">
        <v>1296</v>
      </c>
      <c r="D257" s="230">
        <v>732.7</v>
      </c>
      <c r="E257" s="230">
        <v>798.8</v>
      </c>
      <c r="F257" s="230">
        <v>821.5</v>
      </c>
      <c r="G257" s="230">
        <v>902.25</v>
      </c>
      <c r="H257" s="238">
        <v>979.15</v>
      </c>
      <c r="I257" s="238">
        <v>1025.8</v>
      </c>
      <c r="J257" s="238">
        <v>1111.75</v>
      </c>
      <c r="K257" s="238">
        <f>734.9+419.75</f>
        <v>1154.65</v>
      </c>
      <c r="L257" s="238">
        <f>603.5+97.1+188.5+264.2</f>
        <v>1153.3</v>
      </c>
      <c r="M257" s="238">
        <f>298+282+565.8</f>
        <v>1145.8</v>
      </c>
      <c r="N257" s="238">
        <f>327+266.6+606.65</f>
        <v>1200.25</v>
      </c>
      <c r="O257" s="238">
        <f>326.5+263.5+552.9</f>
        <v>1142.9</v>
      </c>
      <c r="P257" s="238">
        <f>315.56+285+520.12</f>
        <v>1120.6799999999998</v>
      </c>
      <c r="Q257" s="238">
        <f>270.95+459.85+300.25</f>
        <v>1031.05</v>
      </c>
      <c r="R257" s="238">
        <f>304.7+235.65+405.3</f>
        <v>945.6500000000001</v>
      </c>
      <c r="S257" s="215">
        <v>939.2</v>
      </c>
      <c r="T257" s="216">
        <f>257.9+193.75+423.7+46.25</f>
        <v>921.5999999999999</v>
      </c>
      <c r="U257" s="216">
        <v>882.15</v>
      </c>
      <c r="V257" s="216">
        <v>903.55</v>
      </c>
      <c r="W257" s="216">
        <v>908.37</v>
      </c>
      <c r="X257" s="216">
        <v>961.4</v>
      </c>
      <c r="Y257" s="216">
        <v>930.25</v>
      </c>
      <c r="Z257" s="216">
        <v>973</v>
      </c>
      <c r="AA257" s="216">
        <v>1017.89</v>
      </c>
      <c r="AB257" s="216">
        <v>1019.96</v>
      </c>
      <c r="AC257" s="216">
        <v>1035.95</v>
      </c>
      <c r="AD257" s="216">
        <v>1071.16</v>
      </c>
      <c r="AE257" s="216">
        <v>1037.31</v>
      </c>
      <c r="AF257" s="215"/>
      <c r="AG257" s="333">
        <f t="shared" si="9"/>
        <v>-0.03160125471451523</v>
      </c>
      <c r="AH257" s="365"/>
    </row>
    <row r="258" spans="1:34" ht="12.75">
      <c r="A258" s="373"/>
      <c r="B258" s="229"/>
      <c r="C258" s="237" t="s">
        <v>893</v>
      </c>
      <c r="D258" s="230">
        <v>35.75</v>
      </c>
      <c r="E258" s="230">
        <v>43.5</v>
      </c>
      <c r="F258" s="230">
        <v>41</v>
      </c>
      <c r="G258" s="230">
        <v>43.2</v>
      </c>
      <c r="H258" s="238">
        <v>48</v>
      </c>
      <c r="I258" s="238">
        <v>55.95</v>
      </c>
      <c r="J258" s="238">
        <v>60</v>
      </c>
      <c r="K258" s="238">
        <v>64.75</v>
      </c>
      <c r="L258" s="238">
        <v>71.8</v>
      </c>
      <c r="M258" s="238">
        <v>77</v>
      </c>
      <c r="N258" s="238">
        <v>83.2</v>
      </c>
      <c r="O258" s="238">
        <v>82.9</v>
      </c>
      <c r="P258" s="238">
        <v>79.05</v>
      </c>
      <c r="Q258" s="238">
        <v>76.15</v>
      </c>
      <c r="R258" s="238">
        <v>68</v>
      </c>
      <c r="S258" s="215">
        <v>65</v>
      </c>
      <c r="T258" s="216">
        <v>60.5</v>
      </c>
      <c r="U258" s="216">
        <v>56.6</v>
      </c>
      <c r="V258" s="216">
        <v>49.1</v>
      </c>
      <c r="W258" s="216">
        <v>51</v>
      </c>
      <c r="X258" s="216">
        <v>52.7</v>
      </c>
      <c r="Y258" s="216">
        <v>49.9</v>
      </c>
      <c r="Z258" s="216">
        <v>52.5</v>
      </c>
      <c r="AA258" s="216">
        <v>52</v>
      </c>
      <c r="AB258" s="216">
        <v>55.55</v>
      </c>
      <c r="AC258" s="216">
        <v>49.65</v>
      </c>
      <c r="AD258" s="216">
        <v>51.3</v>
      </c>
      <c r="AE258" s="216">
        <v>57.6</v>
      </c>
      <c r="AF258" s="215"/>
      <c r="AG258" s="333">
        <f t="shared" si="9"/>
        <v>0.12280701754385974</v>
      </c>
      <c r="AH258" s="365"/>
    </row>
    <row r="259" spans="1:34" ht="12.75">
      <c r="A259" s="373"/>
      <c r="B259" s="229"/>
      <c r="C259" s="237" t="s">
        <v>894</v>
      </c>
      <c r="D259" s="230">
        <v>91.5</v>
      </c>
      <c r="E259" s="230">
        <v>99.5</v>
      </c>
      <c r="F259" s="230">
        <v>107</v>
      </c>
      <c r="G259" s="230">
        <v>108</v>
      </c>
      <c r="H259" s="238">
        <v>112.75</v>
      </c>
      <c r="I259" s="238">
        <v>114.4</v>
      </c>
      <c r="J259" s="238">
        <v>128.05</v>
      </c>
      <c r="K259" s="238">
        <v>139</v>
      </c>
      <c r="L259" s="238">
        <v>151.2</v>
      </c>
      <c r="M259" s="238">
        <v>152.1</v>
      </c>
      <c r="N259" s="238">
        <v>155.85</v>
      </c>
      <c r="O259" s="238">
        <v>151.08</v>
      </c>
      <c r="P259" s="238">
        <v>137.3</v>
      </c>
      <c r="Q259" s="238">
        <v>133.25</v>
      </c>
      <c r="R259" s="238">
        <v>120.2</v>
      </c>
      <c r="S259" s="215">
        <v>120.15</v>
      </c>
      <c r="T259" s="216">
        <v>94.25</v>
      </c>
      <c r="U259" s="216">
        <v>89.75</v>
      </c>
      <c r="V259" s="216">
        <v>87.3</v>
      </c>
      <c r="W259" s="216">
        <v>68.2</v>
      </c>
      <c r="X259" s="216">
        <v>75.4</v>
      </c>
      <c r="Y259" s="216">
        <v>84.7</v>
      </c>
      <c r="Z259" s="216">
        <v>78.95</v>
      </c>
      <c r="AA259" s="216">
        <v>92.45</v>
      </c>
      <c r="AB259" s="216">
        <v>88.2</v>
      </c>
      <c r="AC259" s="216">
        <v>102.55</v>
      </c>
      <c r="AD259" s="216">
        <v>124.55</v>
      </c>
      <c r="AE259" s="216">
        <v>138.2</v>
      </c>
      <c r="AF259" s="215"/>
      <c r="AG259" s="333">
        <f t="shared" si="9"/>
        <v>0.10959454034524281</v>
      </c>
      <c r="AH259" s="365"/>
    </row>
    <row r="260" spans="1:34" ht="12.75">
      <c r="A260" s="373"/>
      <c r="B260" s="229"/>
      <c r="C260" s="237" t="s">
        <v>895</v>
      </c>
      <c r="D260" s="230">
        <v>206.35</v>
      </c>
      <c r="E260" s="230">
        <v>199.65</v>
      </c>
      <c r="F260" s="230">
        <v>207.15</v>
      </c>
      <c r="G260" s="230">
        <v>217.3</v>
      </c>
      <c r="H260" s="238">
        <v>217.5</v>
      </c>
      <c r="I260" s="238">
        <v>247.75</v>
      </c>
      <c r="J260" s="238">
        <v>239</v>
      </c>
      <c r="K260" s="238">
        <v>246.6</v>
      </c>
      <c r="L260" s="238">
        <v>258.1</v>
      </c>
      <c r="M260" s="238">
        <v>240</v>
      </c>
      <c r="N260" s="238">
        <v>244.55</v>
      </c>
      <c r="O260" s="238">
        <v>238</v>
      </c>
      <c r="P260" s="238">
        <v>243.77</v>
      </c>
      <c r="Q260" s="238">
        <v>216.4</v>
      </c>
      <c r="R260" s="238">
        <v>212.9</v>
      </c>
      <c r="S260" s="215">
        <v>221.45</v>
      </c>
      <c r="T260" s="216">
        <v>196.3</v>
      </c>
      <c r="U260" s="216">
        <v>187.2</v>
      </c>
      <c r="V260" s="216">
        <v>191.3</v>
      </c>
      <c r="W260" s="216">
        <v>169.45</v>
      </c>
      <c r="X260" s="216">
        <v>185.75</v>
      </c>
      <c r="Y260" s="216">
        <v>184.8</v>
      </c>
      <c r="Z260" s="216">
        <v>192</v>
      </c>
      <c r="AA260" s="216">
        <v>203.55</v>
      </c>
      <c r="AB260" s="216">
        <v>203.75</v>
      </c>
      <c r="AC260" s="216">
        <v>212.1</v>
      </c>
      <c r="AD260" s="216">
        <v>228.8</v>
      </c>
      <c r="AE260" s="216">
        <v>227.5</v>
      </c>
      <c r="AF260" s="215"/>
      <c r="AG260" s="333">
        <f t="shared" si="9"/>
        <v>-0.005681818181818231</v>
      </c>
      <c r="AH260" s="365"/>
    </row>
    <row r="261" spans="1:34" ht="12.75">
      <c r="A261" s="373"/>
      <c r="B261" s="229"/>
      <c r="C261" s="237" t="s">
        <v>896</v>
      </c>
      <c r="D261" s="230">
        <v>31.45</v>
      </c>
      <c r="E261" s="230">
        <v>36.55</v>
      </c>
      <c r="F261" s="230">
        <v>36.33</v>
      </c>
      <c r="G261" s="230">
        <v>48.55</v>
      </c>
      <c r="H261" s="238">
        <v>52</v>
      </c>
      <c r="I261" s="238">
        <v>54</v>
      </c>
      <c r="J261" s="238">
        <v>69.62</v>
      </c>
      <c r="K261" s="238">
        <v>67.7</v>
      </c>
      <c r="L261" s="238">
        <v>72</v>
      </c>
      <c r="M261" s="238">
        <v>79</v>
      </c>
      <c r="N261" s="238">
        <v>91.5</v>
      </c>
      <c r="O261" s="238">
        <v>89.2</v>
      </c>
      <c r="P261" s="238">
        <v>80.9</v>
      </c>
      <c r="Q261" s="238">
        <v>67.15</v>
      </c>
      <c r="R261" s="238">
        <v>60</v>
      </c>
      <c r="S261" s="215">
        <v>60.8</v>
      </c>
      <c r="T261" s="216">
        <v>60.55</v>
      </c>
      <c r="U261" s="216">
        <v>67.55</v>
      </c>
      <c r="V261" s="216">
        <v>62.75</v>
      </c>
      <c r="W261" s="216">
        <v>62.6</v>
      </c>
      <c r="X261" s="216">
        <v>69.45</v>
      </c>
      <c r="Y261" s="216">
        <v>78</v>
      </c>
      <c r="Z261" s="216">
        <v>72.85</v>
      </c>
      <c r="AA261" s="216">
        <v>75.85</v>
      </c>
      <c r="AB261" s="216">
        <v>75.75</v>
      </c>
      <c r="AC261" s="216">
        <v>72.5</v>
      </c>
      <c r="AD261" s="216">
        <v>86.85</v>
      </c>
      <c r="AE261" s="216">
        <v>93.3</v>
      </c>
      <c r="AF261" s="215"/>
      <c r="AG261" s="333">
        <f t="shared" si="9"/>
        <v>0.07426597582038</v>
      </c>
      <c r="AH261" s="365"/>
    </row>
    <row r="262" spans="1:34" ht="12.75">
      <c r="A262" s="373"/>
      <c r="B262" s="229"/>
      <c r="C262" s="237" t="s">
        <v>897</v>
      </c>
      <c r="D262" s="230">
        <v>144.45</v>
      </c>
      <c r="E262" s="230">
        <v>158.45</v>
      </c>
      <c r="F262" s="230">
        <v>164.71</v>
      </c>
      <c r="G262" s="230">
        <v>179.25</v>
      </c>
      <c r="H262" s="238">
        <v>161.25</v>
      </c>
      <c r="I262" s="238">
        <v>162.9</v>
      </c>
      <c r="J262" s="238">
        <v>174</v>
      </c>
      <c r="K262" s="238">
        <v>163</v>
      </c>
      <c r="L262" s="238">
        <v>172.8</v>
      </c>
      <c r="M262" s="238">
        <v>170</v>
      </c>
      <c r="N262" s="238">
        <v>154</v>
      </c>
      <c r="O262" s="238">
        <v>151.9</v>
      </c>
      <c r="P262" s="238">
        <v>139.85</v>
      </c>
      <c r="Q262" s="238">
        <v>141.25</v>
      </c>
      <c r="R262" s="238">
        <v>126.65</v>
      </c>
      <c r="S262" s="215">
        <v>146.6</v>
      </c>
      <c r="T262" s="216">
        <v>129.4</v>
      </c>
      <c r="U262" s="216">
        <v>129.85</v>
      </c>
      <c r="V262" s="216">
        <v>139.55</v>
      </c>
      <c r="W262" s="216">
        <v>132.08</v>
      </c>
      <c r="X262" s="216">
        <v>130.15</v>
      </c>
      <c r="Y262" s="216">
        <v>127.45</v>
      </c>
      <c r="Z262" s="216">
        <v>133.5</v>
      </c>
      <c r="AA262" s="216">
        <v>136.45</v>
      </c>
      <c r="AB262" s="216">
        <v>147.05</v>
      </c>
      <c r="AC262" s="216">
        <v>155.65</v>
      </c>
      <c r="AD262" s="216">
        <v>148.65</v>
      </c>
      <c r="AE262" s="216">
        <v>147.25</v>
      </c>
      <c r="AF262" s="215"/>
      <c r="AG262" s="333">
        <f t="shared" si="9"/>
        <v>-0.0094180961991255</v>
      </c>
      <c r="AH262" s="365"/>
    </row>
    <row r="263" spans="1:34" ht="12.75">
      <c r="A263" s="374"/>
      <c r="B263" s="245"/>
      <c r="C263" s="241"/>
      <c r="D263" s="242"/>
      <c r="E263" s="242"/>
      <c r="F263" s="242"/>
      <c r="G263" s="242"/>
      <c r="H263" s="243"/>
      <c r="I263" s="243"/>
      <c r="J263" s="243"/>
      <c r="K263" s="243"/>
      <c r="L263" s="243"/>
      <c r="M263" s="243"/>
      <c r="N263" s="243"/>
      <c r="O263" s="243"/>
      <c r="P263" s="243"/>
      <c r="Q263" s="243"/>
      <c r="R263" s="242"/>
      <c r="S263" s="242"/>
      <c r="T263" s="242"/>
      <c r="U263" s="242"/>
      <c r="V263" s="242"/>
      <c r="W263" s="242"/>
      <c r="X263" s="242"/>
      <c r="Y263" s="242"/>
      <c r="Z263" s="242"/>
      <c r="AA263" s="242"/>
      <c r="AB263" s="242"/>
      <c r="AC263" s="242"/>
      <c r="AD263" s="242"/>
      <c r="AE263" s="242"/>
      <c r="AF263" s="243">
        <f>SUM(AE255:AE262)</f>
        <v>1852.06</v>
      </c>
      <c r="AG263" s="366"/>
      <c r="AH263" s="363"/>
    </row>
    <row r="264" spans="1:34" ht="12.75">
      <c r="A264" s="244" t="s">
        <v>697</v>
      </c>
      <c r="B264" s="229" t="s">
        <v>588</v>
      </c>
      <c r="C264" s="237" t="s">
        <v>898</v>
      </c>
      <c r="D264" s="230">
        <v>94.45</v>
      </c>
      <c r="E264" s="230">
        <v>99.95</v>
      </c>
      <c r="F264" s="230">
        <v>95.2</v>
      </c>
      <c r="G264" s="230">
        <v>107.35</v>
      </c>
      <c r="H264" s="238">
        <v>101</v>
      </c>
      <c r="I264" s="238">
        <v>105.7</v>
      </c>
      <c r="J264" s="238">
        <v>112.6</v>
      </c>
      <c r="K264" s="238">
        <v>110.45</v>
      </c>
      <c r="L264" s="238">
        <v>107.75</v>
      </c>
      <c r="M264" s="238">
        <v>93.2</v>
      </c>
      <c r="N264" s="238">
        <v>98.25</v>
      </c>
      <c r="O264" s="238">
        <v>88.85</v>
      </c>
      <c r="P264" s="238">
        <v>88.85</v>
      </c>
      <c r="Q264" s="238">
        <v>81.15</v>
      </c>
      <c r="R264" s="238">
        <v>80.8</v>
      </c>
      <c r="S264" s="215">
        <v>78.6</v>
      </c>
      <c r="T264" s="216">
        <v>80.2</v>
      </c>
      <c r="U264" s="216">
        <v>66.2</v>
      </c>
      <c r="V264" s="216">
        <v>58.25</v>
      </c>
      <c r="W264" s="216">
        <v>58.35</v>
      </c>
      <c r="X264" s="216">
        <v>64</v>
      </c>
      <c r="Y264" s="216">
        <v>62.4</v>
      </c>
      <c r="Z264" s="216">
        <v>66.4</v>
      </c>
      <c r="AA264" s="216">
        <v>70.45</v>
      </c>
      <c r="AB264" s="216">
        <v>66.35</v>
      </c>
      <c r="AC264" s="216">
        <v>77.55</v>
      </c>
      <c r="AD264" s="216">
        <v>70.15</v>
      </c>
      <c r="AE264" s="216">
        <v>64.75</v>
      </c>
      <c r="AF264" s="215"/>
      <c r="AG264" s="333">
        <f aca="true" t="shared" si="10" ref="AG264:AG274">(AE264-AD264)/AD264</f>
        <v>-0.07697790449037784</v>
      </c>
      <c r="AH264" s="365"/>
    </row>
    <row r="265" spans="1:34" ht="12.75">
      <c r="A265" s="373"/>
      <c r="B265" s="229"/>
      <c r="C265" s="237" t="s">
        <v>899</v>
      </c>
      <c r="D265" s="230">
        <v>107.25</v>
      </c>
      <c r="E265" s="230">
        <v>109.9</v>
      </c>
      <c r="F265" s="230">
        <v>114.2</v>
      </c>
      <c r="G265" s="230">
        <v>118.5</v>
      </c>
      <c r="H265" s="238">
        <v>118</v>
      </c>
      <c r="I265" s="238">
        <v>124.3</v>
      </c>
      <c r="J265" s="238">
        <v>133.95</v>
      </c>
      <c r="K265" s="238">
        <v>143.75</v>
      </c>
      <c r="L265" s="238">
        <v>142.5</v>
      </c>
      <c r="M265" s="238">
        <v>150</v>
      </c>
      <c r="N265" s="238">
        <v>166.05</v>
      </c>
      <c r="O265" s="238">
        <v>166</v>
      </c>
      <c r="P265" s="238">
        <v>170</v>
      </c>
      <c r="Q265" s="238">
        <v>157.6</v>
      </c>
      <c r="R265" s="238">
        <v>169.65</v>
      </c>
      <c r="S265" s="215">
        <v>166.45</v>
      </c>
      <c r="T265" s="216">
        <v>175.3</v>
      </c>
      <c r="U265" s="216">
        <v>176</v>
      </c>
      <c r="V265" s="216">
        <v>156.7</v>
      </c>
      <c r="W265" s="216">
        <v>151.65</v>
      </c>
      <c r="X265" s="216">
        <v>152.45</v>
      </c>
      <c r="Y265" s="216">
        <v>152.9</v>
      </c>
      <c r="Z265" s="216">
        <v>155.8</v>
      </c>
      <c r="AA265" s="216">
        <v>153.5</v>
      </c>
      <c r="AB265" s="216">
        <v>159.75</v>
      </c>
      <c r="AC265" s="216">
        <v>167.25</v>
      </c>
      <c r="AD265" s="216">
        <v>169.82</v>
      </c>
      <c r="AE265" s="216">
        <v>186.1</v>
      </c>
      <c r="AF265" s="215"/>
      <c r="AG265" s="333">
        <f t="shared" si="10"/>
        <v>0.09586621128253446</v>
      </c>
      <c r="AH265" s="365"/>
    </row>
    <row r="266" spans="1:34" ht="12.75">
      <c r="A266" s="373"/>
      <c r="B266" s="229"/>
      <c r="C266" s="237" t="s">
        <v>900</v>
      </c>
      <c r="D266" s="230">
        <v>49.25</v>
      </c>
      <c r="E266" s="230">
        <v>42</v>
      </c>
      <c r="F266" s="230">
        <v>49.05</v>
      </c>
      <c r="G266" s="230">
        <v>42.4</v>
      </c>
      <c r="H266" s="238">
        <v>44.9</v>
      </c>
      <c r="I266" s="238">
        <v>41.4</v>
      </c>
      <c r="J266" s="238">
        <v>47.05</v>
      </c>
      <c r="K266" s="238">
        <v>44.35</v>
      </c>
      <c r="L266" s="238">
        <v>44</v>
      </c>
      <c r="M266" s="238">
        <v>43</v>
      </c>
      <c r="N266" s="238">
        <v>41.15</v>
      </c>
      <c r="O266" s="238">
        <v>42</v>
      </c>
      <c r="P266" s="238">
        <v>43.6</v>
      </c>
      <c r="Q266" s="238">
        <v>51.05</v>
      </c>
      <c r="R266" s="238">
        <v>49</v>
      </c>
      <c r="S266" s="215">
        <v>51.95</v>
      </c>
      <c r="T266" s="216">
        <v>43.55</v>
      </c>
      <c r="U266" s="216">
        <v>39</v>
      </c>
      <c r="V266" s="216">
        <v>29</v>
      </c>
      <c r="W266" s="216">
        <v>30.2</v>
      </c>
      <c r="X266" s="216">
        <v>24.75</v>
      </c>
      <c r="Y266" s="216">
        <v>31.75</v>
      </c>
      <c r="Z266" s="216">
        <v>35</v>
      </c>
      <c r="AA266" s="216">
        <v>42.73</v>
      </c>
      <c r="AB266" s="216">
        <v>42.95</v>
      </c>
      <c r="AC266" s="216">
        <v>38.8</v>
      </c>
      <c r="AD266" s="216">
        <v>38.35</v>
      </c>
      <c r="AE266" s="216">
        <v>40.25</v>
      </c>
      <c r="AF266" s="215"/>
      <c r="AG266" s="333">
        <f t="shared" si="10"/>
        <v>0.04954367666232069</v>
      </c>
      <c r="AH266" s="365"/>
    </row>
    <row r="267" spans="1:34" ht="12.75">
      <c r="A267" s="373"/>
      <c r="B267" s="229"/>
      <c r="C267" s="237" t="s">
        <v>901</v>
      </c>
      <c r="D267" s="230">
        <v>129.65</v>
      </c>
      <c r="E267" s="230">
        <v>126.7</v>
      </c>
      <c r="F267" s="230">
        <v>127.6</v>
      </c>
      <c r="G267" s="230">
        <v>132.9</v>
      </c>
      <c r="H267" s="238">
        <v>131.55</v>
      </c>
      <c r="I267" s="238">
        <v>116.05</v>
      </c>
      <c r="J267" s="238">
        <v>140.7</v>
      </c>
      <c r="K267" s="238">
        <v>123.3</v>
      </c>
      <c r="L267" s="238">
        <v>121.6</v>
      </c>
      <c r="M267" s="238">
        <v>137.9</v>
      </c>
      <c r="N267" s="238">
        <v>137.3</v>
      </c>
      <c r="O267" s="238">
        <v>130</v>
      </c>
      <c r="P267" s="238">
        <v>118.1</v>
      </c>
      <c r="Q267" s="238">
        <v>109.3</v>
      </c>
      <c r="R267" s="238">
        <v>100.25</v>
      </c>
      <c r="S267" s="215">
        <v>122.95</v>
      </c>
      <c r="T267" s="216">
        <v>104.7</v>
      </c>
      <c r="U267" s="216">
        <v>103.4</v>
      </c>
      <c r="V267" s="216">
        <v>102.4</v>
      </c>
      <c r="W267" s="216">
        <v>106.05</v>
      </c>
      <c r="X267" s="216">
        <v>107.7</v>
      </c>
      <c r="Y267" s="216">
        <v>113.05</v>
      </c>
      <c r="Z267" s="216">
        <v>105.55</v>
      </c>
      <c r="AA267" s="216">
        <v>114.05</v>
      </c>
      <c r="AB267" s="216">
        <v>120.75</v>
      </c>
      <c r="AC267" s="216">
        <v>119.3</v>
      </c>
      <c r="AD267" s="216">
        <v>114.5</v>
      </c>
      <c r="AE267" s="216">
        <v>126.38</v>
      </c>
      <c r="AF267" s="215"/>
      <c r="AG267" s="333">
        <f t="shared" si="10"/>
        <v>0.1037554585152838</v>
      </c>
      <c r="AH267" s="365"/>
    </row>
    <row r="268" spans="1:34" ht="12.75">
      <c r="A268" s="373"/>
      <c r="B268" s="229"/>
      <c r="C268" s="237" t="s">
        <v>902</v>
      </c>
      <c r="D268" s="230">
        <v>95.5</v>
      </c>
      <c r="E268" s="230">
        <v>102.9</v>
      </c>
      <c r="F268" s="230">
        <v>110</v>
      </c>
      <c r="G268" s="230">
        <v>111.65</v>
      </c>
      <c r="H268" s="238">
        <v>104.35</v>
      </c>
      <c r="I268" s="238">
        <v>110.25</v>
      </c>
      <c r="J268" s="238">
        <v>108</v>
      </c>
      <c r="K268" s="238">
        <v>121.95</v>
      </c>
      <c r="L268" s="238">
        <v>116.6</v>
      </c>
      <c r="M268" s="238">
        <v>122.5</v>
      </c>
      <c r="N268" s="238">
        <v>118.75</v>
      </c>
      <c r="O268" s="238">
        <v>135.85</v>
      </c>
      <c r="P268" s="238">
        <v>126.45</v>
      </c>
      <c r="Q268" s="238">
        <v>110.45</v>
      </c>
      <c r="R268" s="238">
        <v>116.35</v>
      </c>
      <c r="S268" s="215">
        <v>121.75</v>
      </c>
      <c r="T268" s="216">
        <v>108.1</v>
      </c>
      <c r="U268" s="216">
        <v>107</v>
      </c>
      <c r="V268" s="216">
        <v>107.15</v>
      </c>
      <c r="W268" s="216">
        <v>114</v>
      </c>
      <c r="X268" s="216">
        <v>114</v>
      </c>
      <c r="Y268" s="216">
        <v>124.3</v>
      </c>
      <c r="Z268" s="216">
        <v>119</v>
      </c>
      <c r="AA268" s="216">
        <v>131.25</v>
      </c>
      <c r="AB268" s="216">
        <v>128.75</v>
      </c>
      <c r="AC268" s="216">
        <v>135.75</v>
      </c>
      <c r="AD268" s="216">
        <v>129.75</v>
      </c>
      <c r="AE268" s="216">
        <v>143.75</v>
      </c>
      <c r="AF268" s="215"/>
      <c r="AG268" s="333">
        <f t="shared" si="10"/>
        <v>0.10789980732177264</v>
      </c>
      <c r="AH268" s="365"/>
    </row>
    <row r="269" spans="1:34" ht="12.75">
      <c r="A269" s="373"/>
      <c r="B269" s="229"/>
      <c r="C269" s="237" t="s">
        <v>903</v>
      </c>
      <c r="D269" s="230">
        <v>26</v>
      </c>
      <c r="E269" s="230">
        <v>18.5</v>
      </c>
      <c r="F269" s="230">
        <v>20.75</v>
      </c>
      <c r="G269" s="230">
        <v>18.15</v>
      </c>
      <c r="H269" s="238">
        <v>21</v>
      </c>
      <c r="I269" s="238">
        <v>22</v>
      </c>
      <c r="J269" s="238">
        <v>26.35</v>
      </c>
      <c r="K269" s="238">
        <v>27.4</v>
      </c>
      <c r="L269" s="238">
        <v>27.25</v>
      </c>
      <c r="M269" s="238">
        <v>35</v>
      </c>
      <c r="N269" s="238">
        <v>33</v>
      </c>
      <c r="O269" s="238">
        <v>35.5</v>
      </c>
      <c r="P269" s="238">
        <v>42</v>
      </c>
      <c r="Q269" s="238">
        <v>38.45</v>
      </c>
      <c r="R269" s="238">
        <v>41</v>
      </c>
      <c r="S269" s="215">
        <v>34</v>
      </c>
      <c r="T269" s="216">
        <v>42.9</v>
      </c>
      <c r="U269" s="216">
        <v>33</v>
      </c>
      <c r="V269" s="216">
        <v>35</v>
      </c>
      <c r="W269" s="216">
        <v>39.2</v>
      </c>
      <c r="X269" s="216">
        <v>37.4</v>
      </c>
      <c r="Y269" s="216">
        <v>36.7</v>
      </c>
      <c r="Z269" s="216">
        <v>41.5</v>
      </c>
      <c r="AA269" s="216">
        <v>45.2</v>
      </c>
      <c r="AB269" s="216">
        <v>44.5</v>
      </c>
      <c r="AC269" s="216">
        <v>41.35</v>
      </c>
      <c r="AD269" s="216">
        <v>45.9</v>
      </c>
      <c r="AE269" s="216">
        <v>39.8</v>
      </c>
      <c r="AF269" s="215"/>
      <c r="AG269" s="333">
        <f t="shared" si="10"/>
        <v>-0.13289760348583882</v>
      </c>
      <c r="AH269" s="365"/>
    </row>
    <row r="270" spans="1:34" ht="12.75">
      <c r="A270" s="373"/>
      <c r="B270" s="229"/>
      <c r="C270" s="237" t="s">
        <v>904</v>
      </c>
      <c r="D270" s="230">
        <v>619.95</v>
      </c>
      <c r="E270" s="230">
        <v>647.6</v>
      </c>
      <c r="F270" s="230">
        <v>693.7</v>
      </c>
      <c r="G270" s="230">
        <v>717</v>
      </c>
      <c r="H270" s="238">
        <v>723.65</v>
      </c>
      <c r="I270" s="238">
        <v>746.8</v>
      </c>
      <c r="J270" s="238">
        <v>782.55</v>
      </c>
      <c r="K270" s="238">
        <f>557.95+272.65</f>
        <v>830.6</v>
      </c>
      <c r="L270" s="238">
        <f>589.65+233.95</f>
        <v>823.5999999999999</v>
      </c>
      <c r="M270" s="238">
        <f>453.75+369.1</f>
        <v>822.85</v>
      </c>
      <c r="N270" s="238">
        <f>482+367.8</f>
        <v>849.8</v>
      </c>
      <c r="O270" s="238">
        <f>390.35+441.05</f>
        <v>831.4000000000001</v>
      </c>
      <c r="P270" s="238">
        <f>402.3+421.35</f>
        <v>823.6500000000001</v>
      </c>
      <c r="Q270" s="238">
        <f>351.9+441.85</f>
        <v>793.75</v>
      </c>
      <c r="R270" s="238">
        <v>767.65</v>
      </c>
      <c r="S270" s="215">
        <v>743.75</v>
      </c>
      <c r="T270" s="216">
        <f>338.2+387.65</f>
        <v>725.8499999999999</v>
      </c>
      <c r="U270" s="216">
        <v>723.6</v>
      </c>
      <c r="V270" s="216">
        <v>708.15</v>
      </c>
      <c r="W270" s="216">
        <v>689.6</v>
      </c>
      <c r="X270" s="216">
        <v>636.08</v>
      </c>
      <c r="Y270" s="216">
        <v>636</v>
      </c>
      <c r="Z270" s="216">
        <v>653.25</v>
      </c>
      <c r="AA270" s="216">
        <v>634.65</v>
      </c>
      <c r="AB270" s="216">
        <v>655.9</v>
      </c>
      <c r="AC270" s="216">
        <v>693.24</v>
      </c>
      <c r="AD270" s="216">
        <v>684.35</v>
      </c>
      <c r="AE270" s="216">
        <v>672.3</v>
      </c>
      <c r="AF270" s="215"/>
      <c r="AG270" s="333">
        <f t="shared" si="10"/>
        <v>-0.017607949148827455</v>
      </c>
      <c r="AH270" s="365"/>
    </row>
    <row r="271" spans="1:34" ht="12.75">
      <c r="A271" s="373"/>
      <c r="B271" s="229"/>
      <c r="C271" s="237" t="s">
        <v>905</v>
      </c>
      <c r="D271" s="230">
        <v>90</v>
      </c>
      <c r="E271" s="230">
        <v>92.3</v>
      </c>
      <c r="F271" s="230">
        <v>97</v>
      </c>
      <c r="G271" s="230">
        <v>108.75</v>
      </c>
      <c r="H271" s="238">
        <v>118.7</v>
      </c>
      <c r="I271" s="238">
        <v>116.05</v>
      </c>
      <c r="J271" s="238">
        <v>126.6</v>
      </c>
      <c r="K271" s="238">
        <v>131.85</v>
      </c>
      <c r="L271" s="238">
        <v>133.55</v>
      </c>
      <c r="M271" s="238">
        <v>132.3</v>
      </c>
      <c r="N271" s="238">
        <f>153.25</f>
        <v>153.25</v>
      </c>
      <c r="O271" s="238">
        <v>158.05</v>
      </c>
      <c r="P271" s="238">
        <v>161.35</v>
      </c>
      <c r="Q271" s="238">
        <v>154.7</v>
      </c>
      <c r="R271" s="238">
        <v>170.3</v>
      </c>
      <c r="S271" s="215">
        <v>156.9</v>
      </c>
      <c r="T271" s="216">
        <v>161.8</v>
      </c>
      <c r="U271" s="216">
        <v>156.55</v>
      </c>
      <c r="V271" s="216">
        <v>147.4</v>
      </c>
      <c r="W271" s="216">
        <v>142</v>
      </c>
      <c r="X271" s="216">
        <v>145.5</v>
      </c>
      <c r="Y271" s="216">
        <v>158.15</v>
      </c>
      <c r="Z271" s="216">
        <v>171.1</v>
      </c>
      <c r="AA271" s="216">
        <v>174.35</v>
      </c>
      <c r="AB271" s="216">
        <v>170.95</v>
      </c>
      <c r="AC271" s="216">
        <v>176.15</v>
      </c>
      <c r="AD271" s="216">
        <v>176.75</v>
      </c>
      <c r="AE271" s="216">
        <v>179.5</v>
      </c>
      <c r="AF271" s="215"/>
      <c r="AG271" s="333">
        <f t="shared" si="10"/>
        <v>0.015558698727015558</v>
      </c>
      <c r="AH271" s="365"/>
    </row>
    <row r="272" spans="1:34" ht="12.75">
      <c r="A272" s="373"/>
      <c r="B272" s="229"/>
      <c r="C272" s="237" t="s">
        <v>906</v>
      </c>
      <c r="D272" s="230">
        <v>158.85</v>
      </c>
      <c r="E272" s="230">
        <v>152.6</v>
      </c>
      <c r="F272" s="230">
        <v>175</v>
      </c>
      <c r="G272" s="230">
        <v>177.1</v>
      </c>
      <c r="H272" s="238">
        <v>209.75</v>
      </c>
      <c r="I272" s="238">
        <v>213.35</v>
      </c>
      <c r="J272" s="238">
        <v>214.75</v>
      </c>
      <c r="K272" s="238">
        <v>216.2</v>
      </c>
      <c r="L272" s="238">
        <v>234.6</v>
      </c>
      <c r="M272" s="238">
        <v>242.1</v>
      </c>
      <c r="N272" s="238">
        <v>231.25</v>
      </c>
      <c r="O272" s="238">
        <v>217.6</v>
      </c>
      <c r="P272" s="238">
        <v>228</v>
      </c>
      <c r="Q272" s="238">
        <v>198.35</v>
      </c>
      <c r="R272" s="238">
        <v>193.2</v>
      </c>
      <c r="S272" s="215">
        <v>205.7</v>
      </c>
      <c r="T272" s="216">
        <v>208.3</v>
      </c>
      <c r="U272" s="216">
        <v>204.2</v>
      </c>
      <c r="V272" s="216">
        <v>192.95</v>
      </c>
      <c r="W272" s="216">
        <v>188.25</v>
      </c>
      <c r="X272" s="216">
        <v>194.1</v>
      </c>
      <c r="Y272" s="216">
        <v>174.05</v>
      </c>
      <c r="Z272" s="216">
        <v>172.9</v>
      </c>
      <c r="AA272" s="216">
        <v>169.43</v>
      </c>
      <c r="AB272" s="216">
        <v>180.25</v>
      </c>
      <c r="AC272" s="216">
        <v>182.06</v>
      </c>
      <c r="AD272" s="216">
        <v>181.77</v>
      </c>
      <c r="AE272" s="216">
        <v>185.14</v>
      </c>
      <c r="AF272" s="215"/>
      <c r="AG272" s="333">
        <f t="shared" si="10"/>
        <v>0.018539913076965262</v>
      </c>
      <c r="AH272" s="365"/>
    </row>
    <row r="273" spans="1:34" ht="12.75">
      <c r="A273" s="373"/>
      <c r="B273" s="229"/>
      <c r="C273" s="237" t="s">
        <v>907</v>
      </c>
      <c r="D273" s="230">
        <v>162.45</v>
      </c>
      <c r="E273" s="230">
        <v>177</v>
      </c>
      <c r="F273" s="230">
        <v>194.3</v>
      </c>
      <c r="G273" s="230">
        <v>204.95</v>
      </c>
      <c r="H273" s="238">
        <v>224.9</v>
      </c>
      <c r="I273" s="238">
        <v>215.15</v>
      </c>
      <c r="J273" s="238">
        <v>232.55</v>
      </c>
      <c r="K273" s="238">
        <v>236.7</v>
      </c>
      <c r="L273" s="255">
        <v>248.05</v>
      </c>
      <c r="M273" s="255">
        <v>269.3</v>
      </c>
      <c r="N273" s="255">
        <v>265.9</v>
      </c>
      <c r="O273" s="255">
        <v>268</v>
      </c>
      <c r="P273" s="255">
        <v>264.85</v>
      </c>
      <c r="Q273" s="255">
        <v>256.8</v>
      </c>
      <c r="R273" s="255">
        <v>241.1</v>
      </c>
      <c r="S273" s="215">
        <v>263.55</v>
      </c>
      <c r="T273" s="216">
        <v>254.65</v>
      </c>
      <c r="U273" s="216">
        <v>255.8</v>
      </c>
      <c r="V273" s="216">
        <v>246.55</v>
      </c>
      <c r="W273" s="216">
        <v>242.45</v>
      </c>
      <c r="X273" s="216">
        <v>239.15</v>
      </c>
      <c r="Y273" s="216">
        <v>238.4</v>
      </c>
      <c r="Z273" s="216">
        <v>243.6</v>
      </c>
      <c r="AA273" s="216">
        <v>264.7</v>
      </c>
      <c r="AB273" s="216">
        <v>273.92</v>
      </c>
      <c r="AC273" s="216">
        <v>270.3</v>
      </c>
      <c r="AD273" s="216">
        <v>248.9</v>
      </c>
      <c r="AE273" s="216">
        <v>245.25</v>
      </c>
      <c r="AF273" s="215"/>
      <c r="AG273" s="333">
        <f t="shared" si="10"/>
        <v>-0.014664523905182827</v>
      </c>
      <c r="AH273" s="365"/>
    </row>
    <row r="274" spans="1:34" ht="12.75">
      <c r="A274" s="373"/>
      <c r="B274" s="229"/>
      <c r="C274" s="237" t="s">
        <v>908</v>
      </c>
      <c r="D274" s="230">
        <v>48.75</v>
      </c>
      <c r="E274" s="230">
        <v>60</v>
      </c>
      <c r="F274" s="230">
        <v>60</v>
      </c>
      <c r="G274" s="230">
        <v>65.5</v>
      </c>
      <c r="H274" s="238">
        <v>75</v>
      </c>
      <c r="I274" s="238">
        <v>81</v>
      </c>
      <c r="J274" s="238">
        <v>75</v>
      </c>
      <c r="K274" s="238">
        <v>79</v>
      </c>
      <c r="L274" s="238">
        <v>78.75</v>
      </c>
      <c r="M274" s="238">
        <v>93.45</v>
      </c>
      <c r="N274" s="238">
        <v>93.45</v>
      </c>
      <c r="O274" s="238">
        <v>77.15</v>
      </c>
      <c r="P274" s="238">
        <v>75.05</v>
      </c>
      <c r="Q274" s="238">
        <v>69.15</v>
      </c>
      <c r="R274" s="238">
        <v>69.5</v>
      </c>
      <c r="S274" s="215">
        <v>73.25</v>
      </c>
      <c r="T274" s="216">
        <v>70.8</v>
      </c>
      <c r="U274" s="216">
        <v>79.5</v>
      </c>
      <c r="V274" s="216">
        <v>73.75</v>
      </c>
      <c r="W274" s="216">
        <v>69</v>
      </c>
      <c r="X274" s="216">
        <v>60.95</v>
      </c>
      <c r="Y274" s="216">
        <v>75.65</v>
      </c>
      <c r="Z274" s="216">
        <v>75.8</v>
      </c>
      <c r="AA274" s="216">
        <v>84.25</v>
      </c>
      <c r="AB274" s="216">
        <v>85.75</v>
      </c>
      <c r="AC274" s="216">
        <v>87.05</v>
      </c>
      <c r="AD274" s="216">
        <v>82.85</v>
      </c>
      <c r="AE274" s="216">
        <v>67.65</v>
      </c>
      <c r="AF274" s="215"/>
      <c r="AG274" s="333">
        <f t="shared" si="10"/>
        <v>-0.18346409173204575</v>
      </c>
      <c r="AH274" s="365"/>
    </row>
    <row r="275" spans="1:34" ht="12.75">
      <c r="A275" s="374"/>
      <c r="B275" s="245"/>
      <c r="C275" s="241"/>
      <c r="D275" s="242"/>
      <c r="E275" s="242"/>
      <c r="F275" s="242"/>
      <c r="G275" s="242"/>
      <c r="H275" s="243"/>
      <c r="I275" s="243"/>
      <c r="J275" s="243"/>
      <c r="K275" s="243"/>
      <c r="L275" s="243"/>
      <c r="M275" s="243"/>
      <c r="N275" s="243"/>
      <c r="O275" s="243"/>
      <c r="P275" s="243"/>
      <c r="Q275" s="243"/>
      <c r="R275" s="241"/>
      <c r="S275" s="242"/>
      <c r="T275" s="242"/>
      <c r="U275" s="242"/>
      <c r="V275" s="242"/>
      <c r="W275" s="242"/>
      <c r="X275" s="242"/>
      <c r="Y275" s="242"/>
      <c r="Z275" s="242"/>
      <c r="AA275" s="242"/>
      <c r="AB275" s="242"/>
      <c r="AC275" s="242"/>
      <c r="AD275" s="242"/>
      <c r="AE275" s="242"/>
      <c r="AF275" s="243">
        <f>SUM(AE264:AE274)</f>
        <v>1950.87</v>
      </c>
      <c r="AG275" s="366"/>
      <c r="AH275" s="363"/>
    </row>
    <row r="276" spans="1:34" ht="12.75">
      <c r="A276" s="244" t="s">
        <v>697</v>
      </c>
      <c r="B276" s="229" t="s">
        <v>600</v>
      </c>
      <c r="C276" s="237" t="s">
        <v>600</v>
      </c>
      <c r="D276" s="230">
        <v>48.2</v>
      </c>
      <c r="E276" s="230">
        <v>45.9</v>
      </c>
      <c r="F276" s="230">
        <v>46.5</v>
      </c>
      <c r="G276" s="230">
        <v>45</v>
      </c>
      <c r="H276" s="238">
        <v>44.85</v>
      </c>
      <c r="I276" s="238">
        <v>38.25</v>
      </c>
      <c r="J276" s="238">
        <v>31.75</v>
      </c>
      <c r="K276" s="238">
        <v>33</v>
      </c>
      <c r="L276" s="238">
        <v>29.8</v>
      </c>
      <c r="M276" s="238">
        <v>33.65</v>
      </c>
      <c r="N276" s="238">
        <v>23</v>
      </c>
      <c r="O276" s="238">
        <v>18.65</v>
      </c>
      <c r="P276" s="238">
        <v>18</v>
      </c>
      <c r="Q276" s="238">
        <v>15</v>
      </c>
      <c r="R276" s="238">
        <v>11.2</v>
      </c>
      <c r="S276" s="215">
        <v>13.6</v>
      </c>
      <c r="T276" s="216">
        <v>14.95</v>
      </c>
      <c r="U276" s="216">
        <v>16</v>
      </c>
      <c r="V276" s="216">
        <v>14.55</v>
      </c>
      <c r="W276" s="216">
        <v>12.9</v>
      </c>
      <c r="X276" s="216">
        <v>12</v>
      </c>
      <c r="Y276" s="216">
        <v>18</v>
      </c>
      <c r="Z276" s="216">
        <v>14.75</v>
      </c>
      <c r="AA276" s="216">
        <v>11.2</v>
      </c>
      <c r="AB276" s="216">
        <v>11.35</v>
      </c>
      <c r="AC276" s="216">
        <v>12.55</v>
      </c>
      <c r="AD276" s="216">
        <v>10</v>
      </c>
      <c r="AE276" s="216">
        <v>8.65</v>
      </c>
      <c r="AF276" s="215"/>
      <c r="AG276" s="333">
        <f>(AE276-AD276)/AD276</f>
        <v>-0.13499999999999995</v>
      </c>
      <c r="AH276" s="365"/>
    </row>
    <row r="277" spans="1:34" ht="12.75">
      <c r="A277" s="374"/>
      <c r="B277" s="245"/>
      <c r="C277" s="241"/>
      <c r="D277" s="242"/>
      <c r="E277" s="242"/>
      <c r="F277" s="242"/>
      <c r="G277" s="242"/>
      <c r="H277" s="243"/>
      <c r="I277" s="243"/>
      <c r="J277" s="243"/>
      <c r="K277" s="243"/>
      <c r="L277" s="243"/>
      <c r="M277" s="243"/>
      <c r="N277" s="243"/>
      <c r="O277" s="243"/>
      <c r="P277" s="243"/>
      <c r="Q277" s="243"/>
      <c r="R277" s="243"/>
      <c r="S277" s="246"/>
      <c r="T277" s="246"/>
      <c r="U277" s="246"/>
      <c r="V277" s="246"/>
      <c r="W277" s="246"/>
      <c r="X277" s="246"/>
      <c r="Y277" s="246"/>
      <c r="Z277" s="246"/>
      <c r="AA277" s="246"/>
      <c r="AB277" s="246"/>
      <c r="AC277" s="246"/>
      <c r="AD277" s="246"/>
      <c r="AE277" s="246"/>
      <c r="AF277" s="246">
        <f>SUM(AE276:AE276)</f>
        <v>8.65</v>
      </c>
      <c r="AG277" s="366"/>
      <c r="AH277" s="363"/>
    </row>
    <row r="278" spans="1:34" ht="12.75">
      <c r="A278" s="244" t="s">
        <v>697</v>
      </c>
      <c r="B278" s="229" t="s">
        <v>602</v>
      </c>
      <c r="C278" s="229" t="s">
        <v>602</v>
      </c>
      <c r="D278" s="230">
        <v>681.2</v>
      </c>
      <c r="E278" s="230">
        <v>702.35</v>
      </c>
      <c r="F278" s="230">
        <v>706.4</v>
      </c>
      <c r="G278" s="230">
        <v>711.1</v>
      </c>
      <c r="H278" s="255">
        <v>758.75</v>
      </c>
      <c r="I278" s="255">
        <v>753.55</v>
      </c>
      <c r="J278" s="255">
        <v>763.05</v>
      </c>
      <c r="K278" s="255">
        <f>423+345.6</f>
        <v>768.6</v>
      </c>
      <c r="L278" s="238">
        <f>338.05+232+182</f>
        <v>752.05</v>
      </c>
      <c r="M278" s="238">
        <v>699.1</v>
      </c>
      <c r="N278" s="238">
        <v>678.3</v>
      </c>
      <c r="O278" s="238">
        <v>652.83</v>
      </c>
      <c r="P278" s="238">
        <v>625.85</v>
      </c>
      <c r="Q278" s="238">
        <v>657.45</v>
      </c>
      <c r="R278" s="238">
        <v>629.6</v>
      </c>
      <c r="S278" s="278">
        <v>591.45</v>
      </c>
      <c r="T278" s="291">
        <v>588.55</v>
      </c>
      <c r="U278" s="291">
        <v>559.6</v>
      </c>
      <c r="V278" s="291">
        <v>517.17</v>
      </c>
      <c r="W278" s="291">
        <v>510.6</v>
      </c>
      <c r="X278" s="291">
        <v>485.83</v>
      </c>
      <c r="Y278" s="291">
        <v>426.65</v>
      </c>
      <c r="Z278" s="291">
        <v>451.22</v>
      </c>
      <c r="AA278" s="291">
        <v>430.25</v>
      </c>
      <c r="AB278" s="291">
        <v>431.85</v>
      </c>
      <c r="AC278" s="291">
        <v>460.51</v>
      </c>
      <c r="AD278" s="291">
        <v>472.36</v>
      </c>
      <c r="AE278" s="291">
        <v>465.4</v>
      </c>
      <c r="AF278" s="278"/>
      <c r="AG278" s="333">
        <f>(AE278-AD278)/AD278</f>
        <v>-0.014734524515200348</v>
      </c>
      <c r="AH278" s="365"/>
    </row>
    <row r="279" spans="1:34" ht="12.75">
      <c r="A279" s="374"/>
      <c r="B279" s="240"/>
      <c r="C279" s="241"/>
      <c r="D279" s="242"/>
      <c r="E279" s="242"/>
      <c r="F279" s="242"/>
      <c r="G279" s="242"/>
      <c r="H279" s="243"/>
      <c r="I279" s="243"/>
      <c r="J279" s="243"/>
      <c r="K279" s="243"/>
      <c r="L279" s="243"/>
      <c r="M279" s="243"/>
      <c r="N279" s="243"/>
      <c r="O279" s="243"/>
      <c r="P279" s="243"/>
      <c r="Q279" s="243"/>
      <c r="R279" s="243"/>
      <c r="S279" s="246"/>
      <c r="T279" s="246"/>
      <c r="U279" s="246"/>
      <c r="V279" s="246"/>
      <c r="W279" s="246"/>
      <c r="X279" s="246"/>
      <c r="Y279" s="246"/>
      <c r="Z279" s="246"/>
      <c r="AA279" s="246"/>
      <c r="AB279" s="246"/>
      <c r="AC279" s="246"/>
      <c r="AD279" s="246"/>
      <c r="AE279" s="246"/>
      <c r="AF279" s="246">
        <f>SUM(AE278:AE278)</f>
        <v>465.4</v>
      </c>
      <c r="AG279" s="366"/>
      <c r="AH279" s="363"/>
    </row>
    <row r="280" spans="1:34" ht="12.75">
      <c r="A280" s="244" t="s">
        <v>685</v>
      </c>
      <c r="B280" s="229" t="s">
        <v>604</v>
      </c>
      <c r="C280" s="237" t="s">
        <v>909</v>
      </c>
      <c r="D280" s="230">
        <v>30</v>
      </c>
      <c r="E280" s="230">
        <v>34</v>
      </c>
      <c r="F280" s="230">
        <v>42.5</v>
      </c>
      <c r="G280" s="230">
        <v>43</v>
      </c>
      <c r="H280" s="238">
        <v>42</v>
      </c>
      <c r="I280" s="238">
        <v>46.3</v>
      </c>
      <c r="J280" s="238">
        <v>57.25</v>
      </c>
      <c r="K280" s="238">
        <v>47</v>
      </c>
      <c r="L280" s="255">
        <v>33.25</v>
      </c>
      <c r="M280" s="255">
        <v>39</v>
      </c>
      <c r="N280" s="255">
        <v>30.5</v>
      </c>
      <c r="O280" s="255">
        <v>27.45</v>
      </c>
      <c r="P280" s="255">
        <v>23.7</v>
      </c>
      <c r="Q280" s="255">
        <v>18.75</v>
      </c>
      <c r="R280" s="255">
        <v>23.3</v>
      </c>
      <c r="S280" s="215">
        <v>23</v>
      </c>
      <c r="T280" s="216">
        <v>23</v>
      </c>
      <c r="U280" s="216">
        <v>19.6</v>
      </c>
      <c r="V280" s="216">
        <v>16.9</v>
      </c>
      <c r="W280" s="216">
        <v>17</v>
      </c>
      <c r="X280" s="216">
        <v>11</v>
      </c>
      <c r="Y280" s="216">
        <v>10.25</v>
      </c>
      <c r="Z280" s="216">
        <v>10</v>
      </c>
      <c r="AA280" s="216">
        <v>10.05</v>
      </c>
      <c r="AB280" s="216">
        <v>10</v>
      </c>
      <c r="AC280" s="216">
        <v>10</v>
      </c>
      <c r="AD280" s="216">
        <v>6</v>
      </c>
      <c r="AE280" s="236" t="s">
        <v>687</v>
      </c>
      <c r="AF280" s="215"/>
      <c r="AG280" s="333" t="e">
        <f>(AE280-AD280)/AD280</f>
        <v>#VALUE!</v>
      </c>
      <c r="AH280" s="365"/>
    </row>
    <row r="281" spans="1:34" ht="12.75">
      <c r="A281" s="373"/>
      <c r="B281" s="229"/>
      <c r="C281" s="237" t="s">
        <v>910</v>
      </c>
      <c r="D281" s="230">
        <v>113.1</v>
      </c>
      <c r="E281" s="230">
        <v>118.9</v>
      </c>
      <c r="F281" s="230">
        <v>116</v>
      </c>
      <c r="G281" s="230">
        <v>117.8</v>
      </c>
      <c r="H281" s="238">
        <v>126.65</v>
      </c>
      <c r="I281" s="238">
        <v>151.05</v>
      </c>
      <c r="J281" s="238">
        <v>139.95</v>
      </c>
      <c r="K281" s="238">
        <v>140</v>
      </c>
      <c r="L281" s="230">
        <v>124.15</v>
      </c>
      <c r="M281" s="230">
        <v>119.25</v>
      </c>
      <c r="N281" s="230">
        <v>113</v>
      </c>
      <c r="O281" s="230">
        <v>109.2</v>
      </c>
      <c r="P281" s="230">
        <v>111.8</v>
      </c>
      <c r="Q281" s="230">
        <v>105.5</v>
      </c>
      <c r="R281" s="230">
        <v>103.95</v>
      </c>
      <c r="S281" s="215">
        <v>91.75</v>
      </c>
      <c r="T281" s="216">
        <v>100</v>
      </c>
      <c r="U281" s="216">
        <v>92</v>
      </c>
      <c r="V281" s="216">
        <v>92.75</v>
      </c>
      <c r="W281" s="216">
        <v>80.6</v>
      </c>
      <c r="X281" s="216">
        <v>75.85</v>
      </c>
      <c r="Y281" s="216">
        <v>71.25</v>
      </c>
      <c r="Z281" s="216">
        <v>79</v>
      </c>
      <c r="AA281" s="216">
        <v>71.25</v>
      </c>
      <c r="AB281" s="216">
        <v>72.1</v>
      </c>
      <c r="AC281" s="216">
        <v>61.1</v>
      </c>
      <c r="AD281" s="216">
        <v>53</v>
      </c>
      <c r="AE281" s="216">
        <v>52</v>
      </c>
      <c r="AF281" s="215"/>
      <c r="AG281" s="333">
        <f>(AE281-AD281)/AD281</f>
        <v>-0.018867924528301886</v>
      </c>
      <c r="AH281" s="365"/>
    </row>
    <row r="282" spans="1:34" ht="12.75">
      <c r="A282" s="374"/>
      <c r="B282" s="364"/>
      <c r="C282" s="363"/>
      <c r="D282" s="242"/>
      <c r="E282" s="242"/>
      <c r="F282" s="242"/>
      <c r="G282" s="242"/>
      <c r="H282" s="243"/>
      <c r="I282" s="243"/>
      <c r="J282" s="243"/>
      <c r="K282" s="243"/>
      <c r="L282" s="256"/>
      <c r="M282" s="256"/>
      <c r="N282" s="256"/>
      <c r="O282" s="256"/>
      <c r="P282" s="256"/>
      <c r="Q282" s="256"/>
      <c r="R282" s="256"/>
      <c r="S282" s="246"/>
      <c r="T282" s="246"/>
      <c r="U282" s="246"/>
      <c r="V282" s="246"/>
      <c r="W282" s="246"/>
      <c r="X282" s="246"/>
      <c r="Y282" s="246"/>
      <c r="Z282" s="246"/>
      <c r="AA282" s="246"/>
      <c r="AB282" s="246"/>
      <c r="AC282" s="246"/>
      <c r="AD282" s="246"/>
      <c r="AE282" s="246"/>
      <c r="AF282" s="246">
        <f>SUM(AE280:AE281)</f>
        <v>52</v>
      </c>
      <c r="AG282" s="366"/>
      <c r="AH282" s="363"/>
    </row>
    <row r="283" spans="1:34" ht="12.75">
      <c r="A283" s="231" t="s">
        <v>697</v>
      </c>
      <c r="B283" s="229" t="s">
        <v>611</v>
      </c>
      <c r="C283" s="282" t="s">
        <v>731</v>
      </c>
      <c r="D283" s="233"/>
      <c r="E283" s="260"/>
      <c r="F283" s="260">
        <v>13</v>
      </c>
      <c r="G283" s="260">
        <v>11.2</v>
      </c>
      <c r="H283" s="234">
        <v>13.6</v>
      </c>
      <c r="I283" s="234">
        <v>14</v>
      </c>
      <c r="J283" s="234" t="s">
        <v>687</v>
      </c>
      <c r="K283" s="234" t="s">
        <v>687</v>
      </c>
      <c r="L283" s="234" t="s">
        <v>687</v>
      </c>
      <c r="M283" s="234" t="s">
        <v>687</v>
      </c>
      <c r="N283" s="234" t="s">
        <v>687</v>
      </c>
      <c r="O283" s="234" t="s">
        <v>687</v>
      </c>
      <c r="P283" s="234" t="s">
        <v>687</v>
      </c>
      <c r="Q283" s="234" t="s">
        <v>687</v>
      </c>
      <c r="R283" s="234" t="s">
        <v>687</v>
      </c>
      <c r="S283" s="234" t="s">
        <v>687</v>
      </c>
      <c r="T283" s="252" t="s">
        <v>687</v>
      </c>
      <c r="U283" s="252" t="s">
        <v>687</v>
      </c>
      <c r="V283" s="252" t="s">
        <v>687</v>
      </c>
      <c r="W283" s="252" t="s">
        <v>687</v>
      </c>
      <c r="X283" s="252" t="s">
        <v>687</v>
      </c>
      <c r="Y283" s="356" t="s">
        <v>687</v>
      </c>
      <c r="Z283" s="356" t="s">
        <v>687</v>
      </c>
      <c r="AA283" s="356" t="s">
        <v>687</v>
      </c>
      <c r="AB283" s="356" t="s">
        <v>687</v>
      </c>
      <c r="AC283" s="356" t="s">
        <v>687</v>
      </c>
      <c r="AD283" s="236" t="s">
        <v>687</v>
      </c>
      <c r="AE283" s="236" t="s">
        <v>687</v>
      </c>
      <c r="AF283" s="235"/>
      <c r="AG283" s="331"/>
      <c r="AH283" s="261"/>
    </row>
    <row r="284" spans="1:34" ht="12.75">
      <c r="A284" s="249"/>
      <c r="B284" s="250"/>
      <c r="C284" s="282" t="s">
        <v>701</v>
      </c>
      <c r="D284" s="233"/>
      <c r="E284" s="260"/>
      <c r="F284" s="260">
        <v>14</v>
      </c>
      <c r="G284" s="260">
        <v>25.1</v>
      </c>
      <c r="H284" s="234">
        <v>10.7</v>
      </c>
      <c r="I284" s="234" t="s">
        <v>687</v>
      </c>
      <c r="J284" s="234" t="s">
        <v>687</v>
      </c>
      <c r="K284" s="234" t="s">
        <v>687</v>
      </c>
      <c r="L284" s="234" t="s">
        <v>687</v>
      </c>
      <c r="M284" s="234" t="s">
        <v>687</v>
      </c>
      <c r="N284" s="234" t="s">
        <v>687</v>
      </c>
      <c r="O284" s="234" t="s">
        <v>687</v>
      </c>
      <c r="P284" s="234" t="s">
        <v>687</v>
      </c>
      <c r="Q284" s="234" t="s">
        <v>687</v>
      </c>
      <c r="R284" s="234" t="s">
        <v>687</v>
      </c>
      <c r="S284" s="234" t="s">
        <v>687</v>
      </c>
      <c r="T284" s="252" t="s">
        <v>687</v>
      </c>
      <c r="U284" s="252" t="s">
        <v>687</v>
      </c>
      <c r="V284" s="252" t="s">
        <v>687</v>
      </c>
      <c r="W284" s="252" t="s">
        <v>687</v>
      </c>
      <c r="X284" s="252" t="s">
        <v>687</v>
      </c>
      <c r="Y284" s="356" t="s">
        <v>687</v>
      </c>
      <c r="Z284" s="356" t="s">
        <v>687</v>
      </c>
      <c r="AA284" s="356" t="s">
        <v>687</v>
      </c>
      <c r="AB284" s="356" t="s">
        <v>687</v>
      </c>
      <c r="AC284" s="356" t="s">
        <v>687</v>
      </c>
      <c r="AD284" s="236" t="s">
        <v>687</v>
      </c>
      <c r="AE284" s="236" t="s">
        <v>687</v>
      </c>
      <c r="AF284" s="235"/>
      <c r="AG284" s="331"/>
      <c r="AH284" s="261"/>
    </row>
    <row r="285" spans="1:34" ht="12.75">
      <c r="A285" s="244"/>
      <c r="B285" s="370"/>
      <c r="C285" s="229" t="s">
        <v>611</v>
      </c>
      <c r="D285" s="230">
        <v>1723.59</v>
      </c>
      <c r="E285" s="258">
        <v>1786.77</v>
      </c>
      <c r="F285" s="238">
        <v>1831.38</v>
      </c>
      <c r="G285" s="238">
        <v>1837.08</v>
      </c>
      <c r="H285" s="255">
        <v>1814.38</v>
      </c>
      <c r="I285" s="255">
        <v>1790.87</v>
      </c>
      <c r="J285" s="255">
        <v>1769.6</v>
      </c>
      <c r="K285" s="255">
        <f>922.81+822.47</f>
        <v>1745.28</v>
      </c>
      <c r="L285" s="230">
        <f>242.8+479.05+141.25+257.05+466.49+55</f>
        <v>1641.64</v>
      </c>
      <c r="M285" s="230">
        <v>1677.61</v>
      </c>
      <c r="N285" s="230">
        <v>1540.43</v>
      </c>
      <c r="O285" s="230">
        <v>1528.36</v>
      </c>
      <c r="P285" s="230">
        <v>1508.8</v>
      </c>
      <c r="Q285" s="230">
        <v>1443.48</v>
      </c>
      <c r="R285" s="230">
        <v>1442.67</v>
      </c>
      <c r="S285" s="278">
        <v>1449.98</v>
      </c>
      <c r="T285" s="291">
        <v>1417.77</v>
      </c>
      <c r="U285" s="291">
        <v>1343.15</v>
      </c>
      <c r="V285" s="291">
        <v>1278.31</v>
      </c>
      <c r="W285" s="291">
        <v>1287.1</v>
      </c>
      <c r="X285" s="291">
        <v>1262.78</v>
      </c>
      <c r="Y285" s="291">
        <v>1280.62</v>
      </c>
      <c r="Z285" s="291">
        <v>1276.29</v>
      </c>
      <c r="AA285" s="291">
        <v>1303.44</v>
      </c>
      <c r="AB285" s="291">
        <v>1277.27</v>
      </c>
      <c r="AC285" s="291">
        <v>1281.15</v>
      </c>
      <c r="AD285" s="291">
        <v>1244.11</v>
      </c>
      <c r="AE285" s="291">
        <v>1238.22</v>
      </c>
      <c r="AF285" s="278"/>
      <c r="AG285" s="333">
        <f>(AE285-AD285)/AD285</f>
        <v>-0.004734308059576624</v>
      </c>
      <c r="AH285" s="365"/>
    </row>
    <row r="286" spans="1:34" ht="12.75">
      <c r="A286" s="263"/>
      <c r="B286" s="245"/>
      <c r="C286" s="241"/>
      <c r="D286" s="242"/>
      <c r="E286" s="264"/>
      <c r="F286" s="264"/>
      <c r="G286" s="264"/>
      <c r="H286" s="243"/>
      <c r="I286" s="242"/>
      <c r="J286" s="242"/>
      <c r="K286" s="242"/>
      <c r="L286" s="242"/>
      <c r="M286" s="242"/>
      <c r="N286" s="242"/>
      <c r="O286" s="242"/>
      <c r="P286" s="242"/>
      <c r="Q286" s="242"/>
      <c r="R286" s="242"/>
      <c r="S286" s="246"/>
      <c r="T286" s="246"/>
      <c r="U286" s="246"/>
      <c r="V286" s="246"/>
      <c r="W286" s="246"/>
      <c r="X286" s="246"/>
      <c r="Y286" s="246"/>
      <c r="Z286" s="246"/>
      <c r="AA286" s="246"/>
      <c r="AB286" s="246"/>
      <c r="AC286" s="246"/>
      <c r="AD286" s="246"/>
      <c r="AE286" s="246"/>
      <c r="AF286" s="246">
        <f>SUM(AE283:AE285)</f>
        <v>1238.22</v>
      </c>
      <c r="AG286" s="366"/>
      <c r="AH286" s="363"/>
    </row>
    <row r="287" spans="1:34" ht="12.75">
      <c r="A287" s="244" t="s">
        <v>697</v>
      </c>
      <c r="B287" s="229" t="s">
        <v>911</v>
      </c>
      <c r="C287" s="229" t="s">
        <v>911</v>
      </c>
      <c r="D287" s="230">
        <v>144.75</v>
      </c>
      <c r="E287" s="258">
        <v>145</v>
      </c>
      <c r="F287" s="258">
        <v>153</v>
      </c>
      <c r="G287" s="258">
        <v>143</v>
      </c>
      <c r="H287" s="255">
        <v>127.2</v>
      </c>
      <c r="I287" s="255">
        <v>131.3</v>
      </c>
      <c r="J287" s="255">
        <v>136.66</v>
      </c>
      <c r="K287" s="255">
        <v>131.6</v>
      </c>
      <c r="L287" s="230">
        <v>124.6</v>
      </c>
      <c r="M287" s="230">
        <v>128.8</v>
      </c>
      <c r="N287" s="230">
        <v>135.75</v>
      </c>
      <c r="O287" s="230">
        <v>120.2</v>
      </c>
      <c r="P287" s="230">
        <v>109.67</v>
      </c>
      <c r="Q287" s="230">
        <v>105.83</v>
      </c>
      <c r="R287" s="230">
        <v>108.75</v>
      </c>
      <c r="S287" s="278">
        <v>109.25</v>
      </c>
      <c r="T287" s="291">
        <v>99.5</v>
      </c>
      <c r="U287" s="291">
        <v>105.9</v>
      </c>
      <c r="V287" s="291">
        <v>94.55</v>
      </c>
      <c r="W287" s="291">
        <v>89.85</v>
      </c>
      <c r="X287" s="291">
        <v>78.4</v>
      </c>
      <c r="Y287" s="291">
        <v>58.71</v>
      </c>
      <c r="Z287" s="291">
        <v>64.05</v>
      </c>
      <c r="AA287" s="291">
        <v>84.3</v>
      </c>
      <c r="AB287" s="291">
        <v>84</v>
      </c>
      <c r="AC287" s="291">
        <v>100.85</v>
      </c>
      <c r="AD287" s="291">
        <v>113.05</v>
      </c>
      <c r="AE287" s="291">
        <v>114.35</v>
      </c>
      <c r="AF287" s="278"/>
      <c r="AG287" s="333">
        <f>(AE287-AD287)/AD287</f>
        <v>0.011499336576735932</v>
      </c>
      <c r="AH287" s="365"/>
    </row>
    <row r="288" spans="1:34" ht="12.75">
      <c r="A288" s="374"/>
      <c r="B288" s="364"/>
      <c r="C288" s="364"/>
      <c r="D288" s="242"/>
      <c r="E288" s="264"/>
      <c r="F288" s="264"/>
      <c r="G288" s="264"/>
      <c r="H288" s="256"/>
      <c r="I288" s="256"/>
      <c r="J288" s="264"/>
      <c r="K288" s="264"/>
      <c r="L288" s="242"/>
      <c r="M288" s="242"/>
      <c r="N288" s="242"/>
      <c r="O288" s="242"/>
      <c r="P288" s="242"/>
      <c r="Q288" s="242"/>
      <c r="R288" s="242"/>
      <c r="S288" s="274"/>
      <c r="T288" s="274"/>
      <c r="U288" s="274"/>
      <c r="V288" s="274"/>
      <c r="W288" s="274"/>
      <c r="X288" s="274"/>
      <c r="Y288" s="274"/>
      <c r="Z288" s="274"/>
      <c r="AA288" s="274"/>
      <c r="AB288" s="274"/>
      <c r="AC288" s="274"/>
      <c r="AD288" s="274"/>
      <c r="AE288" s="274"/>
      <c r="AF288" s="246">
        <f>SUM(AE287:AE287)</f>
        <v>114.35</v>
      </c>
      <c r="AG288" s="366"/>
      <c r="AH288" s="363"/>
    </row>
    <row r="289" spans="1:34" ht="12.75">
      <c r="A289" s="231" t="s">
        <v>685</v>
      </c>
      <c r="B289" s="229" t="s">
        <v>614</v>
      </c>
      <c r="C289" s="232" t="s">
        <v>912</v>
      </c>
      <c r="D289" s="233">
        <v>7</v>
      </c>
      <c r="E289" s="260">
        <v>8</v>
      </c>
      <c r="F289" s="260">
        <v>6</v>
      </c>
      <c r="G289" s="260">
        <v>7</v>
      </c>
      <c r="H289" s="234" t="s">
        <v>687</v>
      </c>
      <c r="I289" s="234" t="s">
        <v>687</v>
      </c>
      <c r="J289" s="234" t="s">
        <v>687</v>
      </c>
      <c r="K289" s="234" t="s">
        <v>687</v>
      </c>
      <c r="L289" s="234" t="s">
        <v>687</v>
      </c>
      <c r="M289" s="234" t="s">
        <v>687</v>
      </c>
      <c r="N289" s="234" t="s">
        <v>687</v>
      </c>
      <c r="O289" s="234" t="s">
        <v>687</v>
      </c>
      <c r="P289" s="234" t="s">
        <v>687</v>
      </c>
      <c r="Q289" s="234" t="s">
        <v>687</v>
      </c>
      <c r="R289" s="234" t="s">
        <v>687</v>
      </c>
      <c r="S289" s="234" t="s">
        <v>687</v>
      </c>
      <c r="T289" s="252" t="s">
        <v>687</v>
      </c>
      <c r="U289" s="252" t="s">
        <v>687</v>
      </c>
      <c r="V289" s="252" t="s">
        <v>687</v>
      </c>
      <c r="W289" s="252" t="s">
        <v>687</v>
      </c>
      <c r="X289" s="252" t="s">
        <v>687</v>
      </c>
      <c r="Y289" s="356" t="s">
        <v>687</v>
      </c>
      <c r="Z289" s="356" t="s">
        <v>687</v>
      </c>
      <c r="AA289" s="356" t="s">
        <v>687</v>
      </c>
      <c r="AB289" s="356" t="s">
        <v>687</v>
      </c>
      <c r="AC289" s="356" t="s">
        <v>687</v>
      </c>
      <c r="AD289" s="236" t="s">
        <v>687</v>
      </c>
      <c r="AE289" s="236" t="s">
        <v>687</v>
      </c>
      <c r="AF289" s="294"/>
      <c r="AG289" s="331"/>
      <c r="AH289" s="261"/>
    </row>
    <row r="290" spans="1:34" ht="12.75">
      <c r="A290" s="259"/>
      <c r="B290" s="250"/>
      <c r="C290" s="251" t="s">
        <v>913</v>
      </c>
      <c r="D290" s="233">
        <v>16</v>
      </c>
      <c r="E290" s="260">
        <v>13</v>
      </c>
      <c r="F290" s="260">
        <v>14</v>
      </c>
      <c r="G290" s="260">
        <v>17</v>
      </c>
      <c r="H290" s="234">
        <v>15.1</v>
      </c>
      <c r="I290" s="234">
        <v>9</v>
      </c>
      <c r="J290" s="233">
        <v>4</v>
      </c>
      <c r="K290" s="233">
        <v>4</v>
      </c>
      <c r="L290" s="233">
        <v>7</v>
      </c>
      <c r="M290" s="234" t="s">
        <v>687</v>
      </c>
      <c r="N290" s="234" t="s">
        <v>687</v>
      </c>
      <c r="O290" s="234" t="s">
        <v>687</v>
      </c>
      <c r="P290" s="234" t="s">
        <v>687</v>
      </c>
      <c r="Q290" s="234" t="s">
        <v>687</v>
      </c>
      <c r="R290" s="234" t="s">
        <v>687</v>
      </c>
      <c r="S290" s="234" t="s">
        <v>687</v>
      </c>
      <c r="T290" s="252" t="s">
        <v>687</v>
      </c>
      <c r="U290" s="252" t="s">
        <v>687</v>
      </c>
      <c r="V290" s="252" t="s">
        <v>687</v>
      </c>
      <c r="W290" s="252" t="s">
        <v>687</v>
      </c>
      <c r="X290" s="252" t="s">
        <v>687</v>
      </c>
      <c r="Y290" s="356" t="s">
        <v>687</v>
      </c>
      <c r="Z290" s="356" t="s">
        <v>687</v>
      </c>
      <c r="AA290" s="356" t="s">
        <v>687</v>
      </c>
      <c r="AB290" s="356" t="s">
        <v>687</v>
      </c>
      <c r="AC290" s="356" t="s">
        <v>687</v>
      </c>
      <c r="AD290" s="236" t="s">
        <v>687</v>
      </c>
      <c r="AE290" s="236" t="s">
        <v>687</v>
      </c>
      <c r="AF290" s="235"/>
      <c r="AG290" s="331"/>
      <c r="AH290" s="261"/>
    </row>
    <row r="291" spans="1:34" ht="12.75">
      <c r="A291" s="259"/>
      <c r="B291" s="250"/>
      <c r="C291" s="389" t="s">
        <v>914</v>
      </c>
      <c r="D291" s="233">
        <v>17.5</v>
      </c>
      <c r="E291" s="260">
        <v>17</v>
      </c>
      <c r="F291" s="260">
        <v>18</v>
      </c>
      <c r="G291" s="260">
        <v>14</v>
      </c>
      <c r="H291" s="234">
        <v>18.7</v>
      </c>
      <c r="I291" s="234">
        <v>17.9</v>
      </c>
      <c r="J291" s="233">
        <v>12.5</v>
      </c>
      <c r="K291" s="233">
        <v>7.15</v>
      </c>
      <c r="L291" s="233">
        <v>10.08</v>
      </c>
      <c r="M291" s="233">
        <v>7</v>
      </c>
      <c r="N291" s="234" t="s">
        <v>687</v>
      </c>
      <c r="O291" s="234" t="s">
        <v>687</v>
      </c>
      <c r="P291" s="234" t="s">
        <v>687</v>
      </c>
      <c r="Q291" s="234" t="s">
        <v>687</v>
      </c>
      <c r="R291" s="234" t="s">
        <v>687</v>
      </c>
      <c r="S291" s="234" t="s">
        <v>687</v>
      </c>
      <c r="T291" s="252" t="s">
        <v>687</v>
      </c>
      <c r="U291" s="252" t="s">
        <v>687</v>
      </c>
      <c r="V291" s="266">
        <v>10</v>
      </c>
      <c r="W291" s="357" t="s">
        <v>687</v>
      </c>
      <c r="X291" s="266">
        <v>10</v>
      </c>
      <c r="Y291" s="266">
        <v>10</v>
      </c>
      <c r="Z291" s="266">
        <v>11</v>
      </c>
      <c r="AA291" s="266">
        <v>8.4</v>
      </c>
      <c r="AB291" s="357" t="s">
        <v>687</v>
      </c>
      <c r="AC291" s="357" t="s">
        <v>687</v>
      </c>
      <c r="AD291" s="236" t="s">
        <v>687</v>
      </c>
      <c r="AE291" s="236" t="s">
        <v>687</v>
      </c>
      <c r="AF291" s="235"/>
      <c r="AG291" s="333"/>
      <c r="AH291" s="261"/>
    </row>
    <row r="292" spans="1:34" ht="12.75">
      <c r="A292" s="259"/>
      <c r="B292" s="250"/>
      <c r="C292" s="251" t="s">
        <v>915</v>
      </c>
      <c r="D292" s="234" t="s">
        <v>687</v>
      </c>
      <c r="E292" s="234" t="s">
        <v>687</v>
      </c>
      <c r="F292" s="234" t="s">
        <v>687</v>
      </c>
      <c r="G292" s="234" t="s">
        <v>687</v>
      </c>
      <c r="H292" s="234" t="s">
        <v>687</v>
      </c>
      <c r="I292" s="234" t="s">
        <v>687</v>
      </c>
      <c r="J292" s="234" t="s">
        <v>687</v>
      </c>
      <c r="K292" s="234" t="s">
        <v>687</v>
      </c>
      <c r="L292" s="234" t="s">
        <v>687</v>
      </c>
      <c r="M292" s="234" t="s">
        <v>687</v>
      </c>
      <c r="N292" s="234" t="s">
        <v>687</v>
      </c>
      <c r="O292" s="234" t="s">
        <v>687</v>
      </c>
      <c r="P292" s="234" t="s">
        <v>687</v>
      </c>
      <c r="Q292" s="234" t="s">
        <v>687</v>
      </c>
      <c r="R292" s="234" t="s">
        <v>687</v>
      </c>
      <c r="S292" s="234" t="s">
        <v>687</v>
      </c>
      <c r="T292" s="252" t="s">
        <v>687</v>
      </c>
      <c r="U292" s="252" t="s">
        <v>687</v>
      </c>
      <c r="V292" s="252" t="s">
        <v>687</v>
      </c>
      <c r="W292" s="252" t="s">
        <v>687</v>
      </c>
      <c r="X292" s="252" t="s">
        <v>687</v>
      </c>
      <c r="Y292" s="356" t="s">
        <v>687</v>
      </c>
      <c r="Z292" s="356" t="s">
        <v>687</v>
      </c>
      <c r="AA292" s="356" t="s">
        <v>687</v>
      </c>
      <c r="AB292" s="356" t="s">
        <v>687</v>
      </c>
      <c r="AC292" s="356" t="s">
        <v>687</v>
      </c>
      <c r="AD292" s="236" t="s">
        <v>687</v>
      </c>
      <c r="AE292" s="236" t="s">
        <v>687</v>
      </c>
      <c r="AF292" s="235"/>
      <c r="AG292" s="331"/>
      <c r="AH292" s="261"/>
    </row>
    <row r="293" spans="1:34" ht="12.75">
      <c r="A293" s="259"/>
      <c r="B293" s="250"/>
      <c r="C293" s="251" t="s">
        <v>737</v>
      </c>
      <c r="D293" s="233">
        <v>38</v>
      </c>
      <c r="E293" s="260"/>
      <c r="F293" s="260"/>
      <c r="G293" s="260"/>
      <c r="H293" s="234"/>
      <c r="I293" s="234" t="s">
        <v>687</v>
      </c>
      <c r="J293" s="234" t="s">
        <v>687</v>
      </c>
      <c r="K293" s="234" t="s">
        <v>687</v>
      </c>
      <c r="L293" s="234" t="s">
        <v>687</v>
      </c>
      <c r="M293" s="234" t="s">
        <v>687</v>
      </c>
      <c r="N293" s="234" t="s">
        <v>687</v>
      </c>
      <c r="O293" s="234" t="s">
        <v>687</v>
      </c>
      <c r="P293" s="234" t="s">
        <v>687</v>
      </c>
      <c r="Q293" s="234" t="s">
        <v>687</v>
      </c>
      <c r="R293" s="234" t="s">
        <v>687</v>
      </c>
      <c r="S293" s="234" t="s">
        <v>687</v>
      </c>
      <c r="T293" s="252" t="s">
        <v>687</v>
      </c>
      <c r="U293" s="252" t="s">
        <v>687</v>
      </c>
      <c r="V293" s="252" t="s">
        <v>687</v>
      </c>
      <c r="W293" s="252" t="s">
        <v>687</v>
      </c>
      <c r="X293" s="252" t="s">
        <v>687</v>
      </c>
      <c r="Y293" s="356" t="s">
        <v>687</v>
      </c>
      <c r="Z293" s="356" t="s">
        <v>687</v>
      </c>
      <c r="AA293" s="356" t="s">
        <v>687</v>
      </c>
      <c r="AB293" s="356" t="s">
        <v>687</v>
      </c>
      <c r="AC293" s="356" t="s">
        <v>687</v>
      </c>
      <c r="AD293" s="236" t="s">
        <v>687</v>
      </c>
      <c r="AE293" s="236" t="s">
        <v>687</v>
      </c>
      <c r="AF293" s="235"/>
      <c r="AG293" s="331"/>
      <c r="AH293" s="261"/>
    </row>
    <row r="294" spans="1:34" ht="12.75">
      <c r="A294" s="262"/>
      <c r="B294" s="229"/>
      <c r="C294" s="237" t="s">
        <v>916</v>
      </c>
      <c r="D294" s="230">
        <v>13.25</v>
      </c>
      <c r="E294" s="258">
        <v>16</v>
      </c>
      <c r="F294" s="258">
        <v>22</v>
      </c>
      <c r="G294" s="258">
        <v>21.2</v>
      </c>
      <c r="H294" s="238">
        <v>22.65</v>
      </c>
      <c r="I294" s="238">
        <v>22</v>
      </c>
      <c r="J294" s="230">
        <v>33</v>
      </c>
      <c r="K294" s="230">
        <v>27</v>
      </c>
      <c r="L294" s="230">
        <v>21</v>
      </c>
      <c r="M294" s="230">
        <v>28.8</v>
      </c>
      <c r="N294" s="230">
        <v>14</v>
      </c>
      <c r="O294" s="230">
        <v>19.75</v>
      </c>
      <c r="P294" s="230">
        <v>10</v>
      </c>
      <c r="Q294" s="230">
        <v>16.25</v>
      </c>
      <c r="R294" s="230">
        <v>14.35</v>
      </c>
      <c r="S294" s="215">
        <v>10</v>
      </c>
      <c r="T294" s="216">
        <v>13</v>
      </c>
      <c r="U294" s="216">
        <v>12.55</v>
      </c>
      <c r="V294" s="216">
        <v>10</v>
      </c>
      <c r="W294" s="216">
        <v>13</v>
      </c>
      <c r="X294" s="216">
        <v>11.4</v>
      </c>
      <c r="Y294" s="216">
        <v>10</v>
      </c>
      <c r="Z294" s="216">
        <v>10</v>
      </c>
      <c r="AA294" s="216">
        <v>13.25</v>
      </c>
      <c r="AB294" s="216">
        <v>16.15</v>
      </c>
      <c r="AC294" s="216">
        <v>20</v>
      </c>
      <c r="AD294" s="216">
        <v>23.5</v>
      </c>
      <c r="AE294" s="401">
        <v>21.5</v>
      </c>
      <c r="AF294" s="215"/>
      <c r="AG294" s="333">
        <f>(AE294-AD294)/AD294</f>
        <v>-0.0851063829787234</v>
      </c>
      <c r="AH294" s="365"/>
    </row>
    <row r="295" spans="1:34" ht="12.75">
      <c r="A295" s="262"/>
      <c r="B295" s="229"/>
      <c r="C295" s="237" t="s">
        <v>917</v>
      </c>
      <c r="D295" s="230"/>
      <c r="E295" s="258"/>
      <c r="F295" s="258"/>
      <c r="G295" s="258"/>
      <c r="H295" s="238"/>
      <c r="I295" s="238"/>
      <c r="J295" s="230"/>
      <c r="K295" s="230"/>
      <c r="L295" s="230"/>
      <c r="M295" s="230"/>
      <c r="N295" s="230">
        <v>12</v>
      </c>
      <c r="O295" s="230">
        <v>18</v>
      </c>
      <c r="P295" s="230">
        <v>10</v>
      </c>
      <c r="Q295" s="230">
        <v>10.05</v>
      </c>
      <c r="R295" s="230">
        <v>13.25</v>
      </c>
      <c r="S295" s="215">
        <v>23.5</v>
      </c>
      <c r="T295" s="216">
        <v>18</v>
      </c>
      <c r="U295" s="216">
        <v>12.25</v>
      </c>
      <c r="V295" s="216">
        <v>10</v>
      </c>
      <c r="W295" s="356" t="s">
        <v>687</v>
      </c>
      <c r="X295" s="356" t="s">
        <v>687</v>
      </c>
      <c r="Y295" s="356" t="s">
        <v>687</v>
      </c>
      <c r="Z295" s="356" t="s">
        <v>687</v>
      </c>
      <c r="AA295" s="356" t="s">
        <v>687</v>
      </c>
      <c r="AB295" s="216">
        <v>10</v>
      </c>
      <c r="AC295" s="216">
        <v>10.6</v>
      </c>
      <c r="AD295" s="216">
        <v>12</v>
      </c>
      <c r="AE295" s="401">
        <v>11</v>
      </c>
      <c r="AF295" s="215"/>
      <c r="AG295" s="333">
        <f>(AE295-AD295)/AD295</f>
        <v>-0.08333333333333333</v>
      </c>
      <c r="AH295" s="365"/>
    </row>
    <row r="296" spans="1:34" ht="12.75">
      <c r="A296" s="262"/>
      <c r="B296" s="229"/>
      <c r="C296" s="237" t="s">
        <v>918</v>
      </c>
      <c r="D296" s="230">
        <v>44</v>
      </c>
      <c r="E296" s="258">
        <v>46.25</v>
      </c>
      <c r="F296" s="258">
        <v>40.75</v>
      </c>
      <c r="G296" s="258">
        <v>42.7</v>
      </c>
      <c r="H296" s="238">
        <v>44.3</v>
      </c>
      <c r="I296" s="238">
        <v>37.75</v>
      </c>
      <c r="J296" s="230">
        <v>42</v>
      </c>
      <c r="K296" s="230">
        <v>30.3</v>
      </c>
      <c r="L296" s="230">
        <v>34</v>
      </c>
      <c r="M296" s="230">
        <v>33.85</v>
      </c>
      <c r="N296" s="230">
        <v>30.15</v>
      </c>
      <c r="O296" s="230">
        <v>25</v>
      </c>
      <c r="P296" s="230">
        <v>31</v>
      </c>
      <c r="Q296" s="230">
        <v>31.99</v>
      </c>
      <c r="R296" s="230">
        <v>21</v>
      </c>
      <c r="S296" s="215">
        <v>21</v>
      </c>
      <c r="T296" s="216">
        <v>18.4</v>
      </c>
      <c r="U296" s="216">
        <v>10.4</v>
      </c>
      <c r="V296" s="216">
        <v>10.95</v>
      </c>
      <c r="W296" s="216">
        <v>15</v>
      </c>
      <c r="X296" s="216">
        <v>11.25</v>
      </c>
      <c r="Y296" s="216">
        <v>12.2</v>
      </c>
      <c r="Z296" s="216">
        <v>14</v>
      </c>
      <c r="AA296" s="216">
        <v>24.5</v>
      </c>
      <c r="AB296" s="216">
        <v>24.85</v>
      </c>
      <c r="AC296" s="216">
        <v>13</v>
      </c>
      <c r="AD296" s="216">
        <v>17.4</v>
      </c>
      <c r="AE296" s="401">
        <v>13.25</v>
      </c>
      <c r="AF296" s="215"/>
      <c r="AG296" s="333">
        <f>(AE296-AD296)/AD296</f>
        <v>-0.2385057471264367</v>
      </c>
      <c r="AH296" s="365"/>
    </row>
    <row r="297" spans="1:34" ht="12.75">
      <c r="A297" s="259"/>
      <c r="B297" s="250"/>
      <c r="C297" s="251" t="s">
        <v>919</v>
      </c>
      <c r="D297" s="234" t="s">
        <v>687</v>
      </c>
      <c r="E297" s="234" t="s">
        <v>687</v>
      </c>
      <c r="F297" s="234" t="s">
        <v>687</v>
      </c>
      <c r="G297" s="234" t="s">
        <v>687</v>
      </c>
      <c r="H297" s="234" t="s">
        <v>687</v>
      </c>
      <c r="I297" s="234" t="s">
        <v>687</v>
      </c>
      <c r="J297" s="234" t="s">
        <v>687</v>
      </c>
      <c r="K297" s="234" t="s">
        <v>687</v>
      </c>
      <c r="L297" s="234" t="s">
        <v>687</v>
      </c>
      <c r="M297" s="234" t="s">
        <v>687</v>
      </c>
      <c r="N297" s="234" t="s">
        <v>687</v>
      </c>
      <c r="O297" s="234" t="s">
        <v>687</v>
      </c>
      <c r="P297" s="234" t="s">
        <v>687</v>
      </c>
      <c r="Q297" s="234" t="s">
        <v>687</v>
      </c>
      <c r="R297" s="234" t="s">
        <v>687</v>
      </c>
      <c r="S297" s="234" t="s">
        <v>687</v>
      </c>
      <c r="T297" s="306" t="s">
        <v>687</v>
      </c>
      <c r="U297" s="306" t="s">
        <v>687</v>
      </c>
      <c r="V297" s="306" t="s">
        <v>687</v>
      </c>
      <c r="W297" s="306" t="s">
        <v>687</v>
      </c>
      <c r="X297" s="306" t="s">
        <v>687</v>
      </c>
      <c r="Y297" s="356" t="s">
        <v>687</v>
      </c>
      <c r="Z297" s="356" t="s">
        <v>687</v>
      </c>
      <c r="AA297" s="356" t="s">
        <v>687</v>
      </c>
      <c r="AB297" s="356" t="s">
        <v>687</v>
      </c>
      <c r="AC297" s="356" t="s">
        <v>687</v>
      </c>
      <c r="AD297" s="236" t="s">
        <v>687</v>
      </c>
      <c r="AE297" s="236" t="s">
        <v>687</v>
      </c>
      <c r="AF297" s="235"/>
      <c r="AG297" s="331"/>
      <c r="AH297" s="261"/>
    </row>
    <row r="298" spans="1:34" ht="12.75">
      <c r="A298" s="262"/>
      <c r="B298" s="229"/>
      <c r="C298" s="389" t="s">
        <v>920</v>
      </c>
      <c r="D298" s="230">
        <v>24</v>
      </c>
      <c r="E298" s="258">
        <v>17</v>
      </c>
      <c r="F298" s="258">
        <v>19</v>
      </c>
      <c r="G298" s="258">
        <v>14.45</v>
      </c>
      <c r="H298" s="238">
        <v>15</v>
      </c>
      <c r="I298" s="238">
        <v>14.3</v>
      </c>
      <c r="J298" s="230">
        <v>10.5</v>
      </c>
      <c r="K298" s="230">
        <v>14</v>
      </c>
      <c r="L298" s="230">
        <v>11</v>
      </c>
      <c r="M298" s="230">
        <v>11</v>
      </c>
      <c r="N298" s="238" t="s">
        <v>687</v>
      </c>
      <c r="O298" s="238" t="s">
        <v>687</v>
      </c>
      <c r="P298" s="234" t="s">
        <v>687</v>
      </c>
      <c r="Q298" s="234" t="s">
        <v>687</v>
      </c>
      <c r="R298" s="234" t="s">
        <v>687</v>
      </c>
      <c r="S298" s="234" t="s">
        <v>687</v>
      </c>
      <c r="T298" s="306" t="s">
        <v>687</v>
      </c>
      <c r="U298" s="306" t="s">
        <v>687</v>
      </c>
      <c r="V298" s="306" t="s">
        <v>687</v>
      </c>
      <c r="W298" s="306" t="s">
        <v>687</v>
      </c>
      <c r="X298" s="306" t="s">
        <v>687</v>
      </c>
      <c r="Y298" s="356" t="s">
        <v>687</v>
      </c>
      <c r="Z298" s="356" t="s">
        <v>687</v>
      </c>
      <c r="AA298" s="356" t="s">
        <v>687</v>
      </c>
      <c r="AB298" s="356" t="s">
        <v>687</v>
      </c>
      <c r="AC298" s="356" t="s">
        <v>687</v>
      </c>
      <c r="AD298" s="236" t="s">
        <v>687</v>
      </c>
      <c r="AE298" s="236" t="s">
        <v>687</v>
      </c>
      <c r="AF298" s="215"/>
      <c r="AG298" s="367"/>
      <c r="AH298" s="365"/>
    </row>
    <row r="299" spans="1:34" ht="12.75">
      <c r="A299" s="262"/>
      <c r="B299" s="229"/>
      <c r="C299" s="237" t="s">
        <v>921</v>
      </c>
      <c r="D299" s="230">
        <v>9</v>
      </c>
      <c r="E299" s="258">
        <v>14</v>
      </c>
      <c r="F299" s="258">
        <v>6.45</v>
      </c>
      <c r="G299" s="258">
        <v>3</v>
      </c>
      <c r="H299" s="238"/>
      <c r="I299" s="238"/>
      <c r="J299" s="230">
        <v>8</v>
      </c>
      <c r="K299" s="230">
        <v>8</v>
      </c>
      <c r="L299" s="230">
        <v>7</v>
      </c>
      <c r="M299" s="230">
        <v>13</v>
      </c>
      <c r="N299" s="230">
        <v>11</v>
      </c>
      <c r="O299" s="230">
        <v>14</v>
      </c>
      <c r="P299" s="230">
        <v>12</v>
      </c>
      <c r="Q299" s="230">
        <v>11</v>
      </c>
      <c r="R299" s="230">
        <v>10</v>
      </c>
      <c r="S299" s="215">
        <v>11</v>
      </c>
      <c r="T299" s="216">
        <v>10</v>
      </c>
      <c r="U299" s="216">
        <v>11.65</v>
      </c>
      <c r="V299" s="216">
        <v>10</v>
      </c>
      <c r="W299" s="216">
        <v>10.25</v>
      </c>
      <c r="X299" s="216">
        <v>14</v>
      </c>
      <c r="Y299" s="216">
        <v>11</v>
      </c>
      <c r="Z299" s="216">
        <v>10</v>
      </c>
      <c r="AA299" s="216">
        <v>10</v>
      </c>
      <c r="AB299" s="216">
        <v>12</v>
      </c>
      <c r="AC299" s="216">
        <v>11.25</v>
      </c>
      <c r="AD299" s="216">
        <v>12</v>
      </c>
      <c r="AE299" s="216">
        <v>12</v>
      </c>
      <c r="AF299" s="215"/>
      <c r="AG299" s="333">
        <f>(AE299-AD299)/AD299</f>
        <v>0</v>
      </c>
      <c r="AH299" s="365"/>
    </row>
    <row r="300" spans="1:34" ht="12.75">
      <c r="A300" s="259"/>
      <c r="B300" s="250"/>
      <c r="C300" s="232" t="s">
        <v>922</v>
      </c>
      <c r="D300" s="233">
        <v>33</v>
      </c>
      <c r="E300" s="260">
        <v>28</v>
      </c>
      <c r="F300" s="260">
        <v>22</v>
      </c>
      <c r="G300" s="260">
        <v>17</v>
      </c>
      <c r="H300" s="234" t="s">
        <v>687</v>
      </c>
      <c r="I300" s="234" t="s">
        <v>687</v>
      </c>
      <c r="J300" s="234" t="s">
        <v>687</v>
      </c>
      <c r="K300" s="234" t="s">
        <v>687</v>
      </c>
      <c r="L300" s="234" t="s">
        <v>687</v>
      </c>
      <c r="M300" s="234" t="s">
        <v>687</v>
      </c>
      <c r="N300" s="234" t="s">
        <v>687</v>
      </c>
      <c r="O300" s="234" t="s">
        <v>687</v>
      </c>
      <c r="P300" s="234" t="s">
        <v>687</v>
      </c>
      <c r="Q300" s="234" t="s">
        <v>687</v>
      </c>
      <c r="R300" s="234" t="s">
        <v>687</v>
      </c>
      <c r="S300" s="234" t="s">
        <v>687</v>
      </c>
      <c r="T300" s="306" t="s">
        <v>687</v>
      </c>
      <c r="U300" s="306" t="s">
        <v>687</v>
      </c>
      <c r="V300" s="306" t="s">
        <v>687</v>
      </c>
      <c r="W300" s="306" t="s">
        <v>687</v>
      </c>
      <c r="X300" s="306" t="s">
        <v>687</v>
      </c>
      <c r="Y300" s="356" t="s">
        <v>687</v>
      </c>
      <c r="Z300" s="356" t="s">
        <v>687</v>
      </c>
      <c r="AA300" s="356" t="s">
        <v>687</v>
      </c>
      <c r="AB300" s="356" t="s">
        <v>687</v>
      </c>
      <c r="AC300" s="356" t="s">
        <v>687</v>
      </c>
      <c r="AD300" s="236" t="s">
        <v>687</v>
      </c>
      <c r="AE300" s="236" t="s">
        <v>687</v>
      </c>
      <c r="AF300" s="235"/>
      <c r="AG300" s="331"/>
      <c r="AH300" s="261"/>
    </row>
    <row r="301" spans="1:34" ht="12.75">
      <c r="A301" s="259"/>
      <c r="B301" s="250"/>
      <c r="C301" s="232" t="s">
        <v>923</v>
      </c>
      <c r="D301" s="233">
        <v>24</v>
      </c>
      <c r="E301" s="234" t="s">
        <v>687</v>
      </c>
      <c r="F301" s="234" t="s">
        <v>687</v>
      </c>
      <c r="G301" s="234" t="s">
        <v>687</v>
      </c>
      <c r="H301" s="234" t="s">
        <v>687</v>
      </c>
      <c r="I301" s="234" t="s">
        <v>687</v>
      </c>
      <c r="J301" s="234" t="s">
        <v>687</v>
      </c>
      <c r="K301" s="234" t="s">
        <v>687</v>
      </c>
      <c r="L301" s="234" t="s">
        <v>687</v>
      </c>
      <c r="M301" s="234" t="s">
        <v>687</v>
      </c>
      <c r="N301" s="234" t="s">
        <v>687</v>
      </c>
      <c r="O301" s="234" t="s">
        <v>687</v>
      </c>
      <c r="P301" s="234" t="s">
        <v>687</v>
      </c>
      <c r="Q301" s="234" t="s">
        <v>687</v>
      </c>
      <c r="R301" s="234" t="s">
        <v>687</v>
      </c>
      <c r="S301" s="234" t="s">
        <v>687</v>
      </c>
      <c r="T301" s="306" t="s">
        <v>687</v>
      </c>
      <c r="U301" s="306" t="s">
        <v>687</v>
      </c>
      <c r="V301" s="306" t="s">
        <v>687</v>
      </c>
      <c r="W301" s="306" t="s">
        <v>687</v>
      </c>
      <c r="X301" s="306" t="s">
        <v>687</v>
      </c>
      <c r="Y301" s="356" t="s">
        <v>687</v>
      </c>
      <c r="Z301" s="356" t="s">
        <v>687</v>
      </c>
      <c r="AA301" s="356" t="s">
        <v>687</v>
      </c>
      <c r="AB301" s="356" t="s">
        <v>687</v>
      </c>
      <c r="AC301" s="356" t="s">
        <v>687</v>
      </c>
      <c r="AD301" s="236" t="s">
        <v>687</v>
      </c>
      <c r="AE301" s="236" t="s">
        <v>687</v>
      </c>
      <c r="AF301" s="235"/>
      <c r="AG301" s="331"/>
      <c r="AH301" s="261"/>
    </row>
    <row r="302" spans="1:34" ht="12.75">
      <c r="A302" s="259"/>
      <c r="B302" s="250"/>
      <c r="C302" s="251" t="s">
        <v>1185</v>
      </c>
      <c r="D302" s="233">
        <v>4</v>
      </c>
      <c r="E302" s="260">
        <v>7</v>
      </c>
      <c r="F302" s="260">
        <v>5</v>
      </c>
      <c r="G302" s="260">
        <v>8</v>
      </c>
      <c r="H302" s="234">
        <v>5</v>
      </c>
      <c r="I302" s="234">
        <v>5</v>
      </c>
      <c r="J302" s="233"/>
      <c r="K302" s="233">
        <v>0</v>
      </c>
      <c r="L302" s="234" t="s">
        <v>687</v>
      </c>
      <c r="M302" s="234" t="s">
        <v>687</v>
      </c>
      <c r="N302" s="234" t="s">
        <v>687</v>
      </c>
      <c r="O302" s="234" t="s">
        <v>687</v>
      </c>
      <c r="P302" s="234" t="s">
        <v>687</v>
      </c>
      <c r="Q302" s="234" t="s">
        <v>687</v>
      </c>
      <c r="R302" s="234" t="s">
        <v>687</v>
      </c>
      <c r="S302" s="234" t="s">
        <v>687</v>
      </c>
      <c r="T302" s="306" t="s">
        <v>687</v>
      </c>
      <c r="U302" s="306" t="s">
        <v>687</v>
      </c>
      <c r="V302" s="306" t="s">
        <v>687</v>
      </c>
      <c r="W302" s="306" t="s">
        <v>687</v>
      </c>
      <c r="X302" s="306" t="s">
        <v>687</v>
      </c>
      <c r="Y302" s="356" t="s">
        <v>687</v>
      </c>
      <c r="Z302" s="356" t="s">
        <v>687</v>
      </c>
      <c r="AA302" s="356" t="s">
        <v>687</v>
      </c>
      <c r="AB302" s="356" t="s">
        <v>687</v>
      </c>
      <c r="AC302" s="356" t="s">
        <v>687</v>
      </c>
      <c r="AD302" s="236" t="s">
        <v>687</v>
      </c>
      <c r="AE302" s="236" t="s">
        <v>687</v>
      </c>
      <c r="AF302" s="235"/>
      <c r="AG302" s="331"/>
      <c r="AH302" s="261"/>
    </row>
    <row r="303" spans="1:34" ht="12.75">
      <c r="A303" s="262"/>
      <c r="B303" s="229"/>
      <c r="C303" s="237" t="s">
        <v>924</v>
      </c>
      <c r="D303" s="230">
        <v>20</v>
      </c>
      <c r="E303" s="258">
        <v>20.4</v>
      </c>
      <c r="F303" s="258">
        <v>32.4</v>
      </c>
      <c r="G303" s="258">
        <v>35.15</v>
      </c>
      <c r="H303" s="238">
        <v>41.3</v>
      </c>
      <c r="I303" s="238">
        <v>38</v>
      </c>
      <c r="J303" s="230">
        <v>42.2</v>
      </c>
      <c r="K303" s="230">
        <v>38</v>
      </c>
      <c r="L303" s="238">
        <v>36.3</v>
      </c>
      <c r="M303" s="238">
        <v>38.5</v>
      </c>
      <c r="N303" s="238">
        <v>35.75</v>
      </c>
      <c r="O303" s="238">
        <v>34.85</v>
      </c>
      <c r="P303" s="238">
        <v>28</v>
      </c>
      <c r="Q303" s="238">
        <v>17</v>
      </c>
      <c r="R303" s="238">
        <v>22</v>
      </c>
      <c r="S303" s="215">
        <v>20</v>
      </c>
      <c r="T303" s="216">
        <v>21</v>
      </c>
      <c r="U303" s="216">
        <v>19.45</v>
      </c>
      <c r="V303" s="216">
        <v>10.05</v>
      </c>
      <c r="W303" s="216">
        <v>15</v>
      </c>
      <c r="X303" s="216">
        <v>20</v>
      </c>
      <c r="Y303" s="216">
        <v>14.2</v>
      </c>
      <c r="Z303" s="216">
        <v>18.5</v>
      </c>
      <c r="AA303" s="216">
        <v>23.6</v>
      </c>
      <c r="AB303" s="216">
        <v>19.3</v>
      </c>
      <c r="AC303" s="216">
        <v>16</v>
      </c>
      <c r="AD303" s="216">
        <v>21.5</v>
      </c>
      <c r="AE303" s="216">
        <v>15.9</v>
      </c>
      <c r="AF303" s="215"/>
      <c r="AG303" s="333">
        <f>(AE303-AD303)/AD303</f>
        <v>-0.26046511627906976</v>
      </c>
      <c r="AH303" s="365"/>
    </row>
    <row r="304" spans="1:34" ht="12.75">
      <c r="A304" s="259"/>
      <c r="B304" s="250"/>
      <c r="C304" s="251" t="s">
        <v>925</v>
      </c>
      <c r="D304" s="233">
        <v>9.6</v>
      </c>
      <c r="E304" s="260">
        <v>8</v>
      </c>
      <c r="F304" s="260">
        <v>10</v>
      </c>
      <c r="G304" s="260">
        <v>11</v>
      </c>
      <c r="H304" s="234">
        <v>11.3</v>
      </c>
      <c r="I304" s="234">
        <v>15</v>
      </c>
      <c r="J304" s="233">
        <v>12.3</v>
      </c>
      <c r="K304" s="233">
        <v>9</v>
      </c>
      <c r="L304" s="233">
        <v>7</v>
      </c>
      <c r="M304" s="234" t="s">
        <v>687</v>
      </c>
      <c r="N304" s="234" t="s">
        <v>687</v>
      </c>
      <c r="O304" s="234" t="s">
        <v>687</v>
      </c>
      <c r="P304" s="234" t="s">
        <v>687</v>
      </c>
      <c r="Q304" s="234" t="s">
        <v>687</v>
      </c>
      <c r="R304" s="234" t="s">
        <v>687</v>
      </c>
      <c r="S304" s="234" t="s">
        <v>687</v>
      </c>
      <c r="T304" s="306" t="s">
        <v>687</v>
      </c>
      <c r="U304" s="306" t="s">
        <v>687</v>
      </c>
      <c r="V304" s="306" t="s">
        <v>687</v>
      </c>
      <c r="W304" s="306" t="s">
        <v>687</v>
      </c>
      <c r="X304" s="306" t="s">
        <v>687</v>
      </c>
      <c r="Y304" s="356" t="s">
        <v>687</v>
      </c>
      <c r="Z304" s="356" t="s">
        <v>687</v>
      </c>
      <c r="AA304" s="356" t="s">
        <v>687</v>
      </c>
      <c r="AB304" s="356" t="s">
        <v>687</v>
      </c>
      <c r="AC304" s="356" t="s">
        <v>687</v>
      </c>
      <c r="AD304" s="236" t="s">
        <v>687</v>
      </c>
      <c r="AE304" s="236" t="s">
        <v>687</v>
      </c>
      <c r="AF304" s="235"/>
      <c r="AG304" s="331"/>
      <c r="AH304" s="261"/>
    </row>
    <row r="305" spans="1:34" ht="12.75">
      <c r="A305" s="262"/>
      <c r="B305" s="229"/>
      <c r="C305" s="237" t="s">
        <v>926</v>
      </c>
      <c r="D305" s="230">
        <v>23.5</v>
      </c>
      <c r="E305" s="258">
        <v>28.1</v>
      </c>
      <c r="F305" s="258">
        <v>22.8</v>
      </c>
      <c r="G305" s="258">
        <v>22.65</v>
      </c>
      <c r="H305" s="238">
        <v>27.6</v>
      </c>
      <c r="I305" s="238">
        <v>23.6</v>
      </c>
      <c r="J305" s="230">
        <v>20.95</v>
      </c>
      <c r="K305" s="230">
        <v>11</v>
      </c>
      <c r="L305" s="230">
        <v>20</v>
      </c>
      <c r="M305" s="230">
        <v>21</v>
      </c>
      <c r="N305" s="230">
        <v>17.9</v>
      </c>
      <c r="O305" s="230">
        <v>12</v>
      </c>
      <c r="P305" s="230">
        <v>12</v>
      </c>
      <c r="Q305" s="230">
        <v>12.61</v>
      </c>
      <c r="R305" s="230">
        <v>20</v>
      </c>
      <c r="S305" s="215">
        <v>13</v>
      </c>
      <c r="T305" s="216">
        <v>12</v>
      </c>
      <c r="U305" s="216">
        <v>12</v>
      </c>
      <c r="V305" s="216">
        <v>11</v>
      </c>
      <c r="W305" s="216">
        <v>10</v>
      </c>
      <c r="X305" s="216">
        <v>10</v>
      </c>
      <c r="Y305" s="216">
        <v>10</v>
      </c>
      <c r="Z305" s="216">
        <v>13</v>
      </c>
      <c r="AA305" s="216">
        <v>10.45</v>
      </c>
      <c r="AB305" s="216">
        <v>10.2</v>
      </c>
      <c r="AC305" s="216">
        <v>11</v>
      </c>
      <c r="AD305" s="216">
        <v>11</v>
      </c>
      <c r="AE305" s="216">
        <v>10</v>
      </c>
      <c r="AF305" s="215"/>
      <c r="AG305" s="333">
        <f>(AE305-AD305)/AD305</f>
        <v>-0.09090909090909091</v>
      </c>
      <c r="AH305" s="365"/>
    </row>
    <row r="306" spans="1:34" ht="12.75">
      <c r="A306" s="262"/>
      <c r="B306" s="229"/>
      <c r="C306" s="237" t="s">
        <v>927</v>
      </c>
      <c r="D306" s="230">
        <v>9</v>
      </c>
      <c r="E306" s="258">
        <v>9</v>
      </c>
      <c r="F306" s="258">
        <v>12</v>
      </c>
      <c r="G306" s="258">
        <v>13.25</v>
      </c>
      <c r="H306" s="238">
        <v>17.4</v>
      </c>
      <c r="I306" s="238">
        <v>12.85</v>
      </c>
      <c r="J306" s="230">
        <v>20.05</v>
      </c>
      <c r="K306" s="230">
        <v>18</v>
      </c>
      <c r="L306" s="238">
        <v>25</v>
      </c>
      <c r="M306" s="238">
        <v>22</v>
      </c>
      <c r="N306" s="238">
        <v>26.3</v>
      </c>
      <c r="O306" s="238">
        <v>23</v>
      </c>
      <c r="P306" s="238">
        <v>24</v>
      </c>
      <c r="Q306" s="238">
        <v>15.08</v>
      </c>
      <c r="R306" s="238">
        <v>14</v>
      </c>
      <c r="S306" s="215">
        <v>12</v>
      </c>
      <c r="T306" s="216">
        <v>10</v>
      </c>
      <c r="U306" s="216">
        <v>10</v>
      </c>
      <c r="V306" s="216">
        <v>10</v>
      </c>
      <c r="W306" s="216">
        <v>10</v>
      </c>
      <c r="X306" s="216">
        <v>10</v>
      </c>
      <c r="Y306" s="216">
        <v>11</v>
      </c>
      <c r="Z306" s="216">
        <v>10</v>
      </c>
      <c r="AA306" s="216">
        <v>11</v>
      </c>
      <c r="AB306" s="216">
        <v>11</v>
      </c>
      <c r="AC306" s="216">
        <v>12.75</v>
      </c>
      <c r="AD306" s="236" t="s">
        <v>687</v>
      </c>
      <c r="AE306" s="236" t="s">
        <v>687</v>
      </c>
      <c r="AF306" s="215"/>
      <c r="AG306" s="333"/>
      <c r="AH306" s="365"/>
    </row>
    <row r="307" spans="1:34" ht="12.75">
      <c r="A307" s="259"/>
      <c r="B307" s="250"/>
      <c r="C307" s="232" t="s">
        <v>928</v>
      </c>
      <c r="D307" s="233">
        <v>16.3</v>
      </c>
      <c r="E307" s="260">
        <v>14.9</v>
      </c>
      <c r="F307" s="260">
        <v>8.3</v>
      </c>
      <c r="G307" s="260">
        <v>12</v>
      </c>
      <c r="H307" s="234" t="s">
        <v>687</v>
      </c>
      <c r="I307" s="234" t="s">
        <v>687</v>
      </c>
      <c r="J307" s="234" t="s">
        <v>687</v>
      </c>
      <c r="K307" s="234" t="s">
        <v>687</v>
      </c>
      <c r="L307" s="234" t="s">
        <v>687</v>
      </c>
      <c r="M307" s="234" t="s">
        <v>687</v>
      </c>
      <c r="N307" s="234" t="s">
        <v>687</v>
      </c>
      <c r="O307" s="234" t="s">
        <v>687</v>
      </c>
      <c r="P307" s="234" t="s">
        <v>687</v>
      </c>
      <c r="Q307" s="234" t="s">
        <v>687</v>
      </c>
      <c r="R307" s="234" t="s">
        <v>687</v>
      </c>
      <c r="S307" s="234" t="s">
        <v>687</v>
      </c>
      <c r="T307" s="306" t="s">
        <v>687</v>
      </c>
      <c r="U307" s="306" t="s">
        <v>687</v>
      </c>
      <c r="V307" s="306" t="s">
        <v>687</v>
      </c>
      <c r="W307" s="306" t="s">
        <v>687</v>
      </c>
      <c r="X307" s="306" t="s">
        <v>687</v>
      </c>
      <c r="Y307" s="356" t="s">
        <v>687</v>
      </c>
      <c r="Z307" s="356" t="s">
        <v>687</v>
      </c>
      <c r="AA307" s="356" t="s">
        <v>687</v>
      </c>
      <c r="AB307" s="356" t="s">
        <v>687</v>
      </c>
      <c r="AC307" s="356" t="s">
        <v>687</v>
      </c>
      <c r="AD307" s="236" t="s">
        <v>687</v>
      </c>
      <c r="AE307" s="236" t="s">
        <v>687</v>
      </c>
      <c r="AF307" s="296"/>
      <c r="AG307" s="331"/>
      <c r="AH307" s="261"/>
    </row>
    <row r="308" spans="1:34" ht="12.75">
      <c r="A308" s="259"/>
      <c r="B308" s="250"/>
      <c r="C308" s="232" t="s">
        <v>929</v>
      </c>
      <c r="D308" s="233">
        <v>14</v>
      </c>
      <c r="E308" s="260">
        <v>10</v>
      </c>
      <c r="F308" s="260">
        <v>7.65</v>
      </c>
      <c r="G308" s="260">
        <v>5</v>
      </c>
      <c r="H308" s="234" t="s">
        <v>687</v>
      </c>
      <c r="I308" s="234" t="s">
        <v>687</v>
      </c>
      <c r="J308" s="234" t="s">
        <v>687</v>
      </c>
      <c r="K308" s="234" t="s">
        <v>687</v>
      </c>
      <c r="L308" s="234" t="s">
        <v>687</v>
      </c>
      <c r="M308" s="234" t="s">
        <v>687</v>
      </c>
      <c r="N308" s="234" t="s">
        <v>687</v>
      </c>
      <c r="O308" s="234" t="s">
        <v>687</v>
      </c>
      <c r="P308" s="234" t="s">
        <v>687</v>
      </c>
      <c r="Q308" s="234" t="s">
        <v>687</v>
      </c>
      <c r="R308" s="234" t="s">
        <v>687</v>
      </c>
      <c r="S308" s="234" t="s">
        <v>687</v>
      </c>
      <c r="T308" s="306" t="s">
        <v>687</v>
      </c>
      <c r="U308" s="306" t="s">
        <v>687</v>
      </c>
      <c r="V308" s="306" t="s">
        <v>687</v>
      </c>
      <c r="W308" s="306" t="s">
        <v>687</v>
      </c>
      <c r="X308" s="306" t="s">
        <v>687</v>
      </c>
      <c r="Y308" s="356" t="s">
        <v>687</v>
      </c>
      <c r="Z308" s="356" t="s">
        <v>687</v>
      </c>
      <c r="AA308" s="356" t="s">
        <v>687</v>
      </c>
      <c r="AB308" s="356" t="s">
        <v>687</v>
      </c>
      <c r="AC308" s="356" t="s">
        <v>687</v>
      </c>
      <c r="AD308" s="236" t="s">
        <v>687</v>
      </c>
      <c r="AE308" s="236" t="s">
        <v>687</v>
      </c>
      <c r="AF308" s="296"/>
      <c r="AG308" s="331"/>
      <c r="AH308" s="261"/>
    </row>
    <row r="309" spans="1:34" ht="12.75">
      <c r="A309" s="262"/>
      <c r="B309" s="229"/>
      <c r="C309" s="237" t="s">
        <v>930</v>
      </c>
      <c r="D309" s="230">
        <v>183.85</v>
      </c>
      <c r="E309" s="258">
        <v>144.15</v>
      </c>
      <c r="F309" s="258">
        <v>153.65</v>
      </c>
      <c r="G309" s="258">
        <v>151.35</v>
      </c>
      <c r="H309" s="238">
        <v>150.6</v>
      </c>
      <c r="I309" s="238">
        <v>145.45</v>
      </c>
      <c r="J309" s="230">
        <v>110.05</v>
      </c>
      <c r="K309" s="230">
        <v>101.55</v>
      </c>
      <c r="L309" s="238">
        <v>110.4</v>
      </c>
      <c r="M309" s="238">
        <v>104.4</v>
      </c>
      <c r="N309" s="238">
        <v>92.95</v>
      </c>
      <c r="O309" s="238">
        <v>78</v>
      </c>
      <c r="P309" s="238">
        <v>76.5</v>
      </c>
      <c r="Q309" s="238">
        <v>85.25</v>
      </c>
      <c r="R309" s="238">
        <v>82.3</v>
      </c>
      <c r="S309" s="215">
        <v>90.4</v>
      </c>
      <c r="T309" s="216">
        <v>82.5</v>
      </c>
      <c r="U309" s="216">
        <v>61.5</v>
      </c>
      <c r="V309" s="216">
        <v>80.5</v>
      </c>
      <c r="W309" s="216">
        <v>62.6</v>
      </c>
      <c r="X309" s="216">
        <v>71.2</v>
      </c>
      <c r="Y309" s="216">
        <v>75.2</v>
      </c>
      <c r="Z309" s="216">
        <v>93.38</v>
      </c>
      <c r="AA309" s="216">
        <v>86.25</v>
      </c>
      <c r="AB309" s="216">
        <v>74.93</v>
      </c>
      <c r="AC309" s="216">
        <v>71.12</v>
      </c>
      <c r="AD309" s="216">
        <v>68.75</v>
      </c>
      <c r="AE309" s="216">
        <v>76.55</v>
      </c>
      <c r="AF309" s="215"/>
      <c r="AG309" s="333">
        <f>(AE309-AD309)/AD309</f>
        <v>0.11345454545454542</v>
      </c>
      <c r="AH309" s="297"/>
    </row>
    <row r="310" spans="1:34" ht="12.75">
      <c r="A310" s="259"/>
      <c r="B310" s="298"/>
      <c r="C310" s="237" t="s">
        <v>931</v>
      </c>
      <c r="D310" s="233">
        <v>15.6</v>
      </c>
      <c r="E310" s="260">
        <v>15</v>
      </c>
      <c r="F310" s="260">
        <v>18</v>
      </c>
      <c r="G310" s="260">
        <v>19</v>
      </c>
      <c r="H310" s="234">
        <v>13</v>
      </c>
      <c r="I310" s="234">
        <v>9</v>
      </c>
      <c r="J310" s="233">
        <v>10</v>
      </c>
      <c r="K310" s="233">
        <v>9</v>
      </c>
      <c r="L310" s="234">
        <v>0</v>
      </c>
      <c r="M310" s="234" t="s">
        <v>687</v>
      </c>
      <c r="N310" s="234" t="s">
        <v>687</v>
      </c>
      <c r="O310" s="234" t="s">
        <v>687</v>
      </c>
      <c r="P310" s="234">
        <v>0</v>
      </c>
      <c r="Q310" s="234">
        <v>11</v>
      </c>
      <c r="R310" s="234">
        <v>10.4</v>
      </c>
      <c r="S310" s="234" t="s">
        <v>687</v>
      </c>
      <c r="T310" s="252" t="s">
        <v>687</v>
      </c>
      <c r="U310" s="252" t="s">
        <v>687</v>
      </c>
      <c r="V310" s="266">
        <v>9.95</v>
      </c>
      <c r="W310" s="357" t="s">
        <v>687</v>
      </c>
      <c r="X310" s="357" t="s">
        <v>687</v>
      </c>
      <c r="Y310" s="216">
        <v>10</v>
      </c>
      <c r="Z310" s="216">
        <v>10</v>
      </c>
      <c r="AA310" s="216">
        <v>11.2</v>
      </c>
      <c r="AB310" s="216">
        <v>11.45</v>
      </c>
      <c r="AC310" s="216">
        <v>10</v>
      </c>
      <c r="AD310" s="216">
        <v>16</v>
      </c>
      <c r="AE310" s="216">
        <v>18</v>
      </c>
      <c r="AF310" s="235"/>
      <c r="AG310" s="333">
        <f>(AE310-AD310)/AD310</f>
        <v>0.125</v>
      </c>
      <c r="AH310" s="299"/>
    </row>
    <row r="311" spans="1:34" ht="12.75">
      <c r="A311" s="263"/>
      <c r="B311" s="245"/>
      <c r="C311" s="363"/>
      <c r="D311" s="242"/>
      <c r="E311" s="264"/>
      <c r="F311" s="264"/>
      <c r="G311" s="264"/>
      <c r="H311" s="243"/>
      <c r="I311" s="243"/>
      <c r="J311" s="243"/>
      <c r="K311" s="243"/>
      <c r="L311" s="243"/>
      <c r="M311" s="243"/>
      <c r="N311" s="243"/>
      <c r="O311" s="243"/>
      <c r="P311" s="243"/>
      <c r="Q311" s="243"/>
      <c r="R311" s="242"/>
      <c r="S311" s="243"/>
      <c r="T311" s="243"/>
      <c r="U311" s="243"/>
      <c r="V311" s="243"/>
      <c r="W311" s="243"/>
      <c r="X311" s="243"/>
      <c r="Y311" s="243"/>
      <c r="Z311" s="243"/>
      <c r="AA311" s="243"/>
      <c r="AB311" s="243"/>
      <c r="AC311" s="243"/>
      <c r="AD311" s="243"/>
      <c r="AE311" s="243"/>
      <c r="AF311" s="243">
        <f>SUM(AE291:AE310)</f>
        <v>178.2</v>
      </c>
      <c r="AG311" s="332"/>
      <c r="AH311" s="300"/>
    </row>
    <row r="312" spans="1:34" ht="12.75">
      <c r="A312" s="244" t="s">
        <v>685</v>
      </c>
      <c r="B312" s="229" t="s">
        <v>622</v>
      </c>
      <c r="C312" s="237" t="s">
        <v>932</v>
      </c>
      <c r="D312" s="230">
        <v>33</v>
      </c>
      <c r="E312" s="258">
        <v>39.45</v>
      </c>
      <c r="F312" s="258">
        <v>33</v>
      </c>
      <c r="G312" s="258">
        <v>38.5</v>
      </c>
      <c r="H312" s="238">
        <v>25.45</v>
      </c>
      <c r="I312" s="238">
        <v>26.95</v>
      </c>
      <c r="J312" s="238">
        <v>49.85</v>
      </c>
      <c r="K312" s="238">
        <v>42.8</v>
      </c>
      <c r="L312" s="238">
        <v>44.95</v>
      </c>
      <c r="M312" s="238">
        <v>37.2</v>
      </c>
      <c r="N312" s="238">
        <v>43.2</v>
      </c>
      <c r="O312" s="238">
        <v>36.1</v>
      </c>
      <c r="P312" s="238">
        <v>32.45</v>
      </c>
      <c r="Q312" s="238">
        <v>35</v>
      </c>
      <c r="R312" s="238">
        <v>35</v>
      </c>
      <c r="S312" s="238">
        <v>38</v>
      </c>
      <c r="T312" s="265">
        <v>38</v>
      </c>
      <c r="U312" s="265">
        <v>39</v>
      </c>
      <c r="V312" s="265">
        <v>33.4</v>
      </c>
      <c r="W312" s="265">
        <v>33</v>
      </c>
      <c r="X312" s="265">
        <v>30.35</v>
      </c>
      <c r="Y312" s="265">
        <v>33</v>
      </c>
      <c r="Z312" s="265">
        <v>27.7</v>
      </c>
      <c r="AA312" s="265">
        <v>24</v>
      </c>
      <c r="AB312" s="265">
        <v>26.05</v>
      </c>
      <c r="AC312" s="265">
        <v>27</v>
      </c>
      <c r="AD312" s="265">
        <v>25.3</v>
      </c>
      <c r="AE312" s="265">
        <v>24</v>
      </c>
      <c r="AF312" s="215"/>
      <c r="AG312" s="333">
        <f>(AE312-AD312)/AD312</f>
        <v>-0.051383399209486195</v>
      </c>
      <c r="AH312" s="301"/>
    </row>
    <row r="313" spans="1:34" ht="12.75">
      <c r="A313" s="262"/>
      <c r="B313" s="229"/>
      <c r="C313" s="389" t="s">
        <v>933</v>
      </c>
      <c r="D313" s="230">
        <v>10</v>
      </c>
      <c r="E313" s="258">
        <v>14.4</v>
      </c>
      <c r="F313" s="258">
        <v>8.25</v>
      </c>
      <c r="G313" s="258">
        <v>12.75</v>
      </c>
      <c r="H313" s="238">
        <v>15</v>
      </c>
      <c r="I313" s="238">
        <v>13</v>
      </c>
      <c r="J313" s="238">
        <v>12</v>
      </c>
      <c r="K313" s="238">
        <v>14</v>
      </c>
      <c r="L313" s="238">
        <v>15</v>
      </c>
      <c r="M313" s="238">
        <v>18.75</v>
      </c>
      <c r="N313" s="238">
        <v>17</v>
      </c>
      <c r="O313" s="238">
        <v>17</v>
      </c>
      <c r="P313" s="238">
        <v>17</v>
      </c>
      <c r="Q313" s="238">
        <v>13.9</v>
      </c>
      <c r="R313" s="238">
        <v>19</v>
      </c>
      <c r="S313" s="238">
        <v>14</v>
      </c>
      <c r="T313" s="265">
        <v>11</v>
      </c>
      <c r="U313" s="265">
        <v>12</v>
      </c>
      <c r="V313" s="265">
        <v>11</v>
      </c>
      <c r="W313" s="265">
        <v>12.3</v>
      </c>
      <c r="X313" s="265">
        <v>13</v>
      </c>
      <c r="Y313" s="265">
        <v>10</v>
      </c>
      <c r="Z313" s="356" t="s">
        <v>687</v>
      </c>
      <c r="AA313" s="356" t="s">
        <v>687</v>
      </c>
      <c r="AB313" s="356" t="s">
        <v>687</v>
      </c>
      <c r="AC313" s="356" t="s">
        <v>687</v>
      </c>
      <c r="AD313" s="236" t="s">
        <v>687</v>
      </c>
      <c r="AE313" s="216">
        <v>14</v>
      </c>
      <c r="AF313" s="215"/>
      <c r="AG313" s="333"/>
      <c r="AH313" s="301"/>
    </row>
    <row r="314" spans="1:34" ht="12.75">
      <c r="A314" s="262"/>
      <c r="B314" s="229"/>
      <c r="C314" s="237" t="s">
        <v>934</v>
      </c>
      <c r="D314" s="230">
        <v>12</v>
      </c>
      <c r="E314" s="258">
        <v>19.45</v>
      </c>
      <c r="F314" s="258">
        <v>21.2</v>
      </c>
      <c r="G314" s="258">
        <v>23.85</v>
      </c>
      <c r="H314" s="238">
        <v>28</v>
      </c>
      <c r="I314" s="238">
        <v>28</v>
      </c>
      <c r="J314" s="238">
        <v>38</v>
      </c>
      <c r="K314" s="238">
        <v>32</v>
      </c>
      <c r="L314" s="238">
        <v>35</v>
      </c>
      <c r="M314" s="238">
        <v>37.65</v>
      </c>
      <c r="N314" s="238">
        <v>37.16</v>
      </c>
      <c r="O314" s="238">
        <v>30.8</v>
      </c>
      <c r="P314" s="238">
        <v>26.45</v>
      </c>
      <c r="Q314" s="238">
        <v>21.6</v>
      </c>
      <c r="R314" s="238">
        <v>31</v>
      </c>
      <c r="S314" s="238">
        <v>25</v>
      </c>
      <c r="T314" s="265">
        <v>22.3</v>
      </c>
      <c r="U314" s="265">
        <v>24.55</v>
      </c>
      <c r="V314" s="265">
        <v>22.35</v>
      </c>
      <c r="W314" s="265">
        <v>12.6</v>
      </c>
      <c r="X314" s="265">
        <v>14.95</v>
      </c>
      <c r="Y314" s="265">
        <v>10</v>
      </c>
      <c r="Z314" s="265">
        <v>12</v>
      </c>
      <c r="AA314" s="265">
        <v>11</v>
      </c>
      <c r="AB314" s="265">
        <v>14.6</v>
      </c>
      <c r="AC314" s="265">
        <v>15.75</v>
      </c>
      <c r="AD314" s="216">
        <v>16.25</v>
      </c>
      <c r="AE314" s="216">
        <v>14.25</v>
      </c>
      <c r="AF314" s="215"/>
      <c r="AG314" s="333">
        <f>(AE314-AD314)/AD314</f>
        <v>-0.12307692307692308</v>
      </c>
      <c r="AH314" s="302"/>
    </row>
    <row r="315" spans="1:34" ht="12.75">
      <c r="A315" s="262"/>
      <c r="B315" s="229"/>
      <c r="C315" s="237" t="s">
        <v>935</v>
      </c>
      <c r="D315" s="230">
        <v>43.65</v>
      </c>
      <c r="E315" s="258">
        <v>35</v>
      </c>
      <c r="F315" s="258">
        <v>37</v>
      </c>
      <c r="G315" s="258">
        <v>55.75</v>
      </c>
      <c r="H315" s="238">
        <v>58</v>
      </c>
      <c r="I315" s="238">
        <v>83.85</v>
      </c>
      <c r="J315" s="238">
        <v>78</v>
      </c>
      <c r="K315" s="238">
        <v>80</v>
      </c>
      <c r="L315" s="238">
        <v>83</v>
      </c>
      <c r="M315" s="238">
        <v>72.5</v>
      </c>
      <c r="N315" s="238">
        <v>75.95</v>
      </c>
      <c r="O315" s="238">
        <v>74.45</v>
      </c>
      <c r="P315" s="238">
        <v>79</v>
      </c>
      <c r="Q315" s="238">
        <v>63.05</v>
      </c>
      <c r="R315" s="238">
        <v>61.95</v>
      </c>
      <c r="S315" s="238">
        <v>39.25</v>
      </c>
      <c r="T315" s="265">
        <v>56.35</v>
      </c>
      <c r="U315" s="265">
        <v>57</v>
      </c>
      <c r="V315" s="265">
        <v>50.9</v>
      </c>
      <c r="W315" s="265">
        <v>56.5</v>
      </c>
      <c r="X315" s="265">
        <v>56</v>
      </c>
      <c r="Y315" s="265">
        <v>56.45</v>
      </c>
      <c r="Z315" s="265">
        <v>57.6</v>
      </c>
      <c r="AA315" s="265">
        <v>58.7</v>
      </c>
      <c r="AB315" s="265">
        <v>58.6</v>
      </c>
      <c r="AC315" s="265">
        <v>50.95</v>
      </c>
      <c r="AD315" s="265">
        <v>49.55</v>
      </c>
      <c r="AE315" s="265">
        <v>56.45</v>
      </c>
      <c r="AF315" s="215"/>
      <c r="AG315" s="333">
        <f>(AE315-AD315)/AD315</f>
        <v>0.1392532795156409</v>
      </c>
      <c r="AH315" s="302"/>
    </row>
    <row r="316" spans="1:34" ht="12.75">
      <c r="A316" s="259"/>
      <c r="B316" s="250"/>
      <c r="C316" s="251" t="s">
        <v>828</v>
      </c>
      <c r="D316" s="233" t="s">
        <v>937</v>
      </c>
      <c r="E316" s="260"/>
      <c r="F316" s="260"/>
      <c r="G316" s="260"/>
      <c r="H316" s="303" t="s">
        <v>687</v>
      </c>
      <c r="I316" s="303" t="s">
        <v>687</v>
      </c>
      <c r="J316" s="303" t="s">
        <v>687</v>
      </c>
      <c r="K316" s="303" t="s">
        <v>687</v>
      </c>
      <c r="L316" s="303" t="s">
        <v>687</v>
      </c>
      <c r="M316" s="303" t="s">
        <v>687</v>
      </c>
      <c r="N316" s="303" t="s">
        <v>687</v>
      </c>
      <c r="O316" s="303" t="s">
        <v>687</v>
      </c>
      <c r="P316" s="303" t="s">
        <v>687</v>
      </c>
      <c r="Q316" s="303" t="s">
        <v>687</v>
      </c>
      <c r="R316" s="303" t="s">
        <v>687</v>
      </c>
      <c r="S316" s="303" t="s">
        <v>687</v>
      </c>
      <c r="T316" s="309" t="s">
        <v>687</v>
      </c>
      <c r="U316" s="309" t="s">
        <v>687</v>
      </c>
      <c r="V316" s="309" t="s">
        <v>687</v>
      </c>
      <c r="W316" s="309" t="s">
        <v>687</v>
      </c>
      <c r="X316" s="309" t="s">
        <v>687</v>
      </c>
      <c r="Y316" s="356" t="s">
        <v>687</v>
      </c>
      <c r="Z316" s="356" t="s">
        <v>687</v>
      </c>
      <c r="AA316" s="356" t="s">
        <v>687</v>
      </c>
      <c r="AB316" s="356" t="s">
        <v>687</v>
      </c>
      <c r="AC316" s="356" t="s">
        <v>687</v>
      </c>
      <c r="AD316" s="236" t="s">
        <v>687</v>
      </c>
      <c r="AE316" s="236" t="s">
        <v>687</v>
      </c>
      <c r="AF316" s="235"/>
      <c r="AG316" s="334"/>
      <c r="AH316" s="304"/>
    </row>
    <row r="317" spans="1:34" ht="12.75">
      <c r="A317" s="262"/>
      <c r="B317" s="229"/>
      <c r="C317" s="237" t="s">
        <v>938</v>
      </c>
      <c r="D317" s="230">
        <v>96.2</v>
      </c>
      <c r="E317" s="258">
        <v>109</v>
      </c>
      <c r="F317" s="258">
        <v>121</v>
      </c>
      <c r="G317" s="258">
        <v>124.3</v>
      </c>
      <c r="H317" s="238">
        <v>123.65</v>
      </c>
      <c r="I317" s="238">
        <v>124.65</v>
      </c>
      <c r="J317" s="238">
        <v>129.3</v>
      </c>
      <c r="K317" s="238">
        <v>137.05</v>
      </c>
      <c r="L317" s="258">
        <v>139.25</v>
      </c>
      <c r="M317" s="258">
        <v>134</v>
      </c>
      <c r="N317" s="258">
        <v>135.7</v>
      </c>
      <c r="O317" s="258">
        <v>143.25</v>
      </c>
      <c r="P317" s="258">
        <v>142</v>
      </c>
      <c r="Q317" s="258">
        <v>129.75</v>
      </c>
      <c r="R317" s="258">
        <v>139.3</v>
      </c>
      <c r="S317" s="215">
        <v>130.65</v>
      </c>
      <c r="T317" s="216">
        <v>131.3</v>
      </c>
      <c r="U317" s="216">
        <v>122</v>
      </c>
      <c r="V317" s="216">
        <v>121.25</v>
      </c>
      <c r="W317" s="216">
        <v>127.85</v>
      </c>
      <c r="X317" s="216">
        <v>117.35</v>
      </c>
      <c r="Y317" s="216">
        <v>125.95</v>
      </c>
      <c r="Z317" s="216">
        <v>122.95</v>
      </c>
      <c r="AA317" s="216">
        <v>137.15</v>
      </c>
      <c r="AB317" s="216">
        <v>125.35</v>
      </c>
      <c r="AC317" s="216">
        <v>124.18</v>
      </c>
      <c r="AD317" s="216">
        <v>122.25</v>
      </c>
      <c r="AE317" s="216">
        <v>124.41</v>
      </c>
      <c r="AF317" s="215"/>
      <c r="AG317" s="333">
        <f>(AE317-AD317)/AD317</f>
        <v>0.01766871165644169</v>
      </c>
      <c r="AH317" s="371"/>
    </row>
    <row r="318" spans="1:34" ht="12.75">
      <c r="A318" s="262"/>
      <c r="B318" s="229"/>
      <c r="C318" s="237" t="s">
        <v>939</v>
      </c>
      <c r="D318" s="230">
        <v>88</v>
      </c>
      <c r="E318" s="258">
        <v>93</v>
      </c>
      <c r="F318" s="258">
        <v>99</v>
      </c>
      <c r="G318" s="258">
        <v>114.5</v>
      </c>
      <c r="H318" s="238">
        <v>115.55</v>
      </c>
      <c r="I318" s="238">
        <v>134.5</v>
      </c>
      <c r="J318" s="238">
        <v>153.3</v>
      </c>
      <c r="K318" s="238">
        <v>161.65</v>
      </c>
      <c r="L318" s="238">
        <v>169.25</v>
      </c>
      <c r="M318" s="238">
        <v>163.8</v>
      </c>
      <c r="N318" s="238">
        <v>160</v>
      </c>
      <c r="O318" s="238">
        <v>181.15</v>
      </c>
      <c r="P318" s="238">
        <v>165.05</v>
      </c>
      <c r="Q318" s="238">
        <v>171.75</v>
      </c>
      <c r="R318" s="238">
        <v>169</v>
      </c>
      <c r="S318" s="215">
        <v>176.5</v>
      </c>
      <c r="T318" s="216">
        <v>173.9</v>
      </c>
      <c r="U318" s="216">
        <v>158.35</v>
      </c>
      <c r="V318" s="216">
        <v>146.25</v>
      </c>
      <c r="W318" s="216">
        <v>155.9</v>
      </c>
      <c r="X318" s="216">
        <v>152</v>
      </c>
      <c r="Y318" s="216">
        <v>156.3</v>
      </c>
      <c r="Z318" s="216">
        <v>128.25</v>
      </c>
      <c r="AA318" s="216">
        <v>132.65</v>
      </c>
      <c r="AB318" s="216">
        <v>133.65</v>
      </c>
      <c r="AC318" s="216">
        <v>135.25</v>
      </c>
      <c r="AD318" s="216">
        <v>125.55</v>
      </c>
      <c r="AE318" s="216">
        <v>134.95</v>
      </c>
      <c r="AF318" s="215"/>
      <c r="AG318" s="333">
        <f>(AE318-AD318)/AD318</f>
        <v>0.07487056949422534</v>
      </c>
      <c r="AH318" s="302"/>
    </row>
    <row r="319" spans="1:34" ht="12.75">
      <c r="A319" s="259"/>
      <c r="B319" s="250"/>
      <c r="C319" s="251" t="s">
        <v>940</v>
      </c>
      <c r="D319" s="233"/>
      <c r="E319" s="260"/>
      <c r="F319" s="260"/>
      <c r="G319" s="260"/>
      <c r="H319" s="234"/>
      <c r="I319" s="234"/>
      <c r="J319" s="234">
        <v>9</v>
      </c>
      <c r="K319" s="234">
        <v>8</v>
      </c>
      <c r="L319" s="234">
        <v>10</v>
      </c>
      <c r="M319" s="234">
        <v>10</v>
      </c>
      <c r="N319" s="234">
        <v>11</v>
      </c>
      <c r="O319" s="234">
        <v>14</v>
      </c>
      <c r="P319" s="234">
        <v>14.4</v>
      </c>
      <c r="Q319" s="234">
        <v>10</v>
      </c>
      <c r="R319" s="234">
        <v>7</v>
      </c>
      <c r="S319" s="303" t="s">
        <v>687</v>
      </c>
      <c r="T319" s="236" t="s">
        <v>687</v>
      </c>
      <c r="U319" s="236" t="s">
        <v>687</v>
      </c>
      <c r="V319" s="236" t="s">
        <v>687</v>
      </c>
      <c r="W319" s="236" t="s">
        <v>687</v>
      </c>
      <c r="X319" s="236" t="s">
        <v>687</v>
      </c>
      <c r="Y319" s="356" t="s">
        <v>687</v>
      </c>
      <c r="Z319" s="356" t="s">
        <v>687</v>
      </c>
      <c r="AA319" s="356" t="s">
        <v>687</v>
      </c>
      <c r="AB319" s="356" t="s">
        <v>687</v>
      </c>
      <c r="AC319" s="356" t="s">
        <v>687</v>
      </c>
      <c r="AD319" s="236" t="s">
        <v>687</v>
      </c>
      <c r="AE319" s="236" t="s">
        <v>687</v>
      </c>
      <c r="AF319" s="235"/>
      <c r="AG319" s="334"/>
      <c r="AH319" s="304"/>
    </row>
    <row r="320" spans="1:34" ht="12.75">
      <c r="A320" s="262"/>
      <c r="B320" s="280"/>
      <c r="C320" s="237" t="s">
        <v>941</v>
      </c>
      <c r="D320" s="230">
        <v>147.45</v>
      </c>
      <c r="E320" s="258">
        <v>149.2</v>
      </c>
      <c r="F320" s="258">
        <v>143.4</v>
      </c>
      <c r="G320" s="258">
        <v>168.5</v>
      </c>
      <c r="H320" s="238">
        <v>185.65</v>
      </c>
      <c r="I320" s="238">
        <v>193.05</v>
      </c>
      <c r="J320" s="238">
        <v>220.35</v>
      </c>
      <c r="K320" s="238">
        <v>253.5</v>
      </c>
      <c r="L320" s="238">
        <v>266.05</v>
      </c>
      <c r="M320" s="238">
        <v>268.45</v>
      </c>
      <c r="N320" s="238">
        <v>272.9</v>
      </c>
      <c r="O320" s="238">
        <v>249.85</v>
      </c>
      <c r="P320" s="238">
        <v>228.9</v>
      </c>
      <c r="Q320" s="238">
        <v>217.9</v>
      </c>
      <c r="R320" s="238">
        <v>230.7</v>
      </c>
      <c r="S320" s="215">
        <v>233.3</v>
      </c>
      <c r="T320" s="216">
        <v>228.8</v>
      </c>
      <c r="U320" s="216">
        <v>228.8</v>
      </c>
      <c r="V320" s="216">
        <v>234.35</v>
      </c>
      <c r="W320" s="216">
        <v>227.7</v>
      </c>
      <c r="X320" s="216">
        <v>227.8</v>
      </c>
      <c r="Y320" s="216">
        <v>222.4</v>
      </c>
      <c r="Z320" s="216">
        <v>221.6</v>
      </c>
      <c r="AA320" s="216">
        <v>220.2</v>
      </c>
      <c r="AB320" s="216">
        <v>212.3</v>
      </c>
      <c r="AC320" s="216">
        <v>205.83</v>
      </c>
      <c r="AD320" s="216">
        <v>214.5</v>
      </c>
      <c r="AE320" s="216">
        <v>200.60000000000002</v>
      </c>
      <c r="AF320" s="215"/>
      <c r="AG320" s="333">
        <f>(AE320-AD320)/AD320</f>
        <v>-0.0648018648018647</v>
      </c>
      <c r="AH320" s="302"/>
    </row>
    <row r="321" spans="1:34" ht="12.75">
      <c r="A321" s="262"/>
      <c r="B321" s="280"/>
      <c r="C321" s="229" t="s">
        <v>942</v>
      </c>
      <c r="D321" s="230">
        <v>7</v>
      </c>
      <c r="E321" s="258">
        <v>11</v>
      </c>
      <c r="F321" s="258">
        <v>16</v>
      </c>
      <c r="G321" s="258">
        <v>16.1</v>
      </c>
      <c r="H321" s="238">
        <v>17</v>
      </c>
      <c r="I321" s="238">
        <v>12</v>
      </c>
      <c r="J321" s="255">
        <v>11</v>
      </c>
      <c r="K321" s="255">
        <v>14.1</v>
      </c>
      <c r="L321" s="238">
        <v>12.2</v>
      </c>
      <c r="M321" s="238">
        <v>15.9</v>
      </c>
      <c r="N321" s="238">
        <v>15</v>
      </c>
      <c r="O321" s="238">
        <v>12</v>
      </c>
      <c r="P321" s="238">
        <v>16</v>
      </c>
      <c r="Q321" s="238">
        <v>14</v>
      </c>
      <c r="R321" s="238">
        <v>13</v>
      </c>
      <c r="S321" s="215">
        <v>12</v>
      </c>
      <c r="T321" s="216">
        <v>12</v>
      </c>
      <c r="U321" s="216">
        <v>16</v>
      </c>
      <c r="V321" s="216">
        <v>14</v>
      </c>
      <c r="W321" s="216">
        <v>14</v>
      </c>
      <c r="X321" s="216">
        <v>16</v>
      </c>
      <c r="Y321" s="216">
        <v>19</v>
      </c>
      <c r="Z321" s="216">
        <v>16</v>
      </c>
      <c r="AA321" s="216">
        <v>18</v>
      </c>
      <c r="AB321" s="216">
        <v>18.2</v>
      </c>
      <c r="AC321" s="216">
        <v>21</v>
      </c>
      <c r="AD321" s="216">
        <v>25.05</v>
      </c>
      <c r="AE321" s="216">
        <v>23.95</v>
      </c>
      <c r="AF321" s="215"/>
      <c r="AG321" s="333">
        <f>(AE321-AD321)/AD321</f>
        <v>-0.04391217564870265</v>
      </c>
      <c r="AH321" s="302"/>
    </row>
    <row r="322" spans="1:34" ht="12.75">
      <c r="A322" s="263"/>
      <c r="B322" s="240"/>
      <c r="C322" s="363"/>
      <c r="D322" s="242"/>
      <c r="E322" s="264"/>
      <c r="F322" s="264"/>
      <c r="G322" s="264"/>
      <c r="H322" s="256"/>
      <c r="I322" s="243"/>
      <c r="J322" s="264"/>
      <c r="K322" s="264"/>
      <c r="L322" s="243"/>
      <c r="M322" s="243"/>
      <c r="N322" s="243"/>
      <c r="O322" s="243"/>
      <c r="P322" s="243"/>
      <c r="Q322" s="243"/>
      <c r="R322" s="243"/>
      <c r="S322" s="243"/>
      <c r="T322" s="243"/>
      <c r="U322" s="243"/>
      <c r="V322" s="243"/>
      <c r="W322" s="243"/>
      <c r="X322" s="243"/>
      <c r="Y322" s="243"/>
      <c r="Z322" s="243"/>
      <c r="AA322" s="243"/>
      <c r="AB322" s="243"/>
      <c r="AC322" s="243"/>
      <c r="AD322" s="243"/>
      <c r="AE322" s="243"/>
      <c r="AF322" s="274">
        <f>SUM(AE312:AE321)</f>
        <v>592.6100000000001</v>
      </c>
      <c r="AG322" s="332"/>
      <c r="AH322" s="300"/>
    </row>
    <row r="323" spans="1:34" ht="12.75">
      <c r="A323" s="244" t="s">
        <v>697</v>
      </c>
      <c r="B323" s="229" t="s">
        <v>943</v>
      </c>
      <c r="C323" s="237" t="s">
        <v>943</v>
      </c>
      <c r="D323" s="230">
        <v>115.6</v>
      </c>
      <c r="E323" s="258">
        <v>105.5</v>
      </c>
      <c r="F323" s="258">
        <v>97.73</v>
      </c>
      <c r="G323" s="258">
        <v>90.1</v>
      </c>
      <c r="H323" s="238">
        <v>108.5</v>
      </c>
      <c r="I323" s="238">
        <v>129.1</v>
      </c>
      <c r="J323" s="238">
        <v>130</v>
      </c>
      <c r="K323" s="238">
        <v>131.8</v>
      </c>
      <c r="L323" s="238">
        <v>129.9</v>
      </c>
      <c r="M323" s="238">
        <v>144.15</v>
      </c>
      <c r="N323" s="238">
        <v>137.7</v>
      </c>
      <c r="O323" s="238">
        <v>152.85</v>
      </c>
      <c r="P323" s="238">
        <v>167.16</v>
      </c>
      <c r="Q323" s="238">
        <v>147.5</v>
      </c>
      <c r="R323" s="238">
        <v>154.7</v>
      </c>
      <c r="S323" s="215">
        <v>164.8</v>
      </c>
      <c r="T323" s="216">
        <v>185.35</v>
      </c>
      <c r="U323" s="216">
        <v>186.3</v>
      </c>
      <c r="V323" s="216">
        <v>176.8</v>
      </c>
      <c r="W323" s="216">
        <v>164.15</v>
      </c>
      <c r="X323" s="216">
        <v>176.5</v>
      </c>
      <c r="Y323" s="216">
        <v>180.9</v>
      </c>
      <c r="Z323" s="216">
        <v>182.5</v>
      </c>
      <c r="AA323" s="216">
        <v>202.85</v>
      </c>
      <c r="AB323" s="216">
        <v>197.6</v>
      </c>
      <c r="AC323" s="216">
        <v>193.2</v>
      </c>
      <c r="AD323" s="216">
        <v>200.55</v>
      </c>
      <c r="AE323" s="216">
        <v>180.8</v>
      </c>
      <c r="AF323" s="215"/>
      <c r="AG323" s="333">
        <f>(AE323-AD323)/AD323</f>
        <v>-0.09847918224881574</v>
      </c>
      <c r="AH323" s="302"/>
    </row>
    <row r="324" spans="1:34" ht="12.75">
      <c r="A324" s="263"/>
      <c r="B324" s="245"/>
      <c r="C324" s="241"/>
      <c r="D324" s="242"/>
      <c r="E324" s="264"/>
      <c r="F324" s="264"/>
      <c r="G324" s="264"/>
      <c r="H324" s="243"/>
      <c r="I324" s="243"/>
      <c r="J324" s="243"/>
      <c r="K324" s="243"/>
      <c r="L324" s="243"/>
      <c r="M324" s="243"/>
      <c r="N324" s="243"/>
      <c r="O324" s="243"/>
      <c r="P324" s="243"/>
      <c r="Q324" s="243"/>
      <c r="R324" s="243"/>
      <c r="S324" s="246"/>
      <c r="T324" s="246"/>
      <c r="U324" s="246"/>
      <c r="V324" s="246"/>
      <c r="W324" s="246"/>
      <c r="X324" s="246"/>
      <c r="Y324" s="246"/>
      <c r="Z324" s="246"/>
      <c r="AA324" s="246"/>
      <c r="AB324" s="246"/>
      <c r="AC324" s="246"/>
      <c r="AD324" s="246"/>
      <c r="AE324" s="246"/>
      <c r="AF324" s="246">
        <f>SUM(AE323:AE323)</f>
        <v>180.8</v>
      </c>
      <c r="AG324" s="332"/>
      <c r="AH324" s="300"/>
    </row>
    <row r="325" spans="1:34" ht="12.75">
      <c r="A325" s="244" t="s">
        <v>697</v>
      </c>
      <c r="B325" s="229" t="s">
        <v>631</v>
      </c>
      <c r="C325" s="237" t="s">
        <v>631</v>
      </c>
      <c r="D325" s="230">
        <v>109</v>
      </c>
      <c r="E325" s="258">
        <v>100</v>
      </c>
      <c r="F325" s="258">
        <v>98</v>
      </c>
      <c r="G325" s="258">
        <v>101</v>
      </c>
      <c r="H325" s="238">
        <v>102.25</v>
      </c>
      <c r="I325" s="238">
        <v>93</v>
      </c>
      <c r="J325" s="238">
        <v>102</v>
      </c>
      <c r="K325" s="238">
        <v>113</v>
      </c>
      <c r="L325" s="238">
        <v>101</v>
      </c>
      <c r="M325" s="238">
        <v>89.75</v>
      </c>
      <c r="N325" s="238">
        <v>76</v>
      </c>
      <c r="O325" s="238">
        <v>54.48</v>
      </c>
      <c r="P325" s="238">
        <v>61.8</v>
      </c>
      <c r="Q325" s="238">
        <v>62.5</v>
      </c>
      <c r="R325" s="238">
        <v>61.8</v>
      </c>
      <c r="S325" s="215">
        <v>57.55</v>
      </c>
      <c r="T325" s="216">
        <v>53.95</v>
      </c>
      <c r="U325" s="216">
        <v>57.4</v>
      </c>
      <c r="V325" s="216">
        <v>39.15</v>
      </c>
      <c r="W325" s="216">
        <v>43.25</v>
      </c>
      <c r="X325" s="216">
        <v>41.45</v>
      </c>
      <c r="Y325" s="216">
        <v>34</v>
      </c>
      <c r="Z325" s="216">
        <v>48.5</v>
      </c>
      <c r="AA325" s="216">
        <v>40.6</v>
      </c>
      <c r="AB325" s="216">
        <v>38.5</v>
      </c>
      <c r="AC325" s="216">
        <v>39</v>
      </c>
      <c r="AD325" s="216">
        <v>36</v>
      </c>
      <c r="AE325" s="216">
        <v>45.5</v>
      </c>
      <c r="AF325" s="215"/>
      <c r="AG325" s="333">
        <f>(AE325-AD325)/AD325</f>
        <v>0.2638888888888889</v>
      </c>
      <c r="AH325" s="302"/>
    </row>
    <row r="326" spans="1:34" ht="12.75">
      <c r="A326" s="263"/>
      <c r="B326" s="245"/>
      <c r="C326" s="241"/>
      <c r="D326" s="242"/>
      <c r="E326" s="264"/>
      <c r="F326" s="264"/>
      <c r="G326" s="264"/>
      <c r="H326" s="243"/>
      <c r="I326" s="243"/>
      <c r="J326" s="243"/>
      <c r="K326" s="243"/>
      <c r="L326" s="243"/>
      <c r="M326" s="243"/>
      <c r="N326" s="243"/>
      <c r="O326" s="243"/>
      <c r="P326" s="243"/>
      <c r="Q326" s="243"/>
      <c r="R326" s="243"/>
      <c r="S326" s="246"/>
      <c r="T326" s="246"/>
      <c r="U326" s="246"/>
      <c r="V326" s="246"/>
      <c r="W326" s="246"/>
      <c r="X326" s="246"/>
      <c r="Y326" s="246"/>
      <c r="Z326" s="246"/>
      <c r="AA326" s="246"/>
      <c r="AB326" s="246"/>
      <c r="AC326" s="246"/>
      <c r="AD326" s="246"/>
      <c r="AE326" s="246"/>
      <c r="AF326" s="246">
        <f>SUM(AE325:AE325)</f>
        <v>45.5</v>
      </c>
      <c r="AG326" s="332"/>
      <c r="AH326" s="300"/>
    </row>
    <row r="327" spans="1:34" ht="12.75">
      <c r="A327" s="244" t="s">
        <v>697</v>
      </c>
      <c r="B327" s="229" t="s">
        <v>633</v>
      </c>
      <c r="C327" s="237" t="s">
        <v>633</v>
      </c>
      <c r="D327" s="230">
        <v>258.05</v>
      </c>
      <c r="E327" s="258">
        <v>304.45</v>
      </c>
      <c r="F327" s="258">
        <v>330.2</v>
      </c>
      <c r="G327" s="258">
        <v>358.6</v>
      </c>
      <c r="H327" s="238">
        <v>356.1</v>
      </c>
      <c r="I327" s="238">
        <v>352.8</v>
      </c>
      <c r="J327" s="238">
        <v>374.6</v>
      </c>
      <c r="K327" s="238">
        <v>380.1</v>
      </c>
      <c r="L327" s="238">
        <f>198.38+154.65</f>
        <v>353.03</v>
      </c>
      <c r="M327" s="238">
        <v>351.91</v>
      </c>
      <c r="N327" s="238">
        <v>351.34</v>
      </c>
      <c r="O327" s="238">
        <v>368.9</v>
      </c>
      <c r="P327" s="238">
        <v>392.95</v>
      </c>
      <c r="Q327" s="238">
        <v>398.55</v>
      </c>
      <c r="R327" s="238">
        <v>398.7</v>
      </c>
      <c r="S327" s="215">
        <v>397.5</v>
      </c>
      <c r="T327" s="216">
        <v>385.75</v>
      </c>
      <c r="U327" s="216">
        <v>387.75</v>
      </c>
      <c r="V327" s="216">
        <v>402.35</v>
      </c>
      <c r="W327" s="216">
        <v>402.7</v>
      </c>
      <c r="X327" s="216">
        <v>406.75</v>
      </c>
      <c r="Y327" s="216">
        <v>413.6</v>
      </c>
      <c r="Z327" s="216">
        <v>414.55</v>
      </c>
      <c r="AA327" s="216">
        <v>407.25</v>
      </c>
      <c r="AB327" s="216">
        <v>395.6</v>
      </c>
      <c r="AC327" s="216">
        <v>374.6</v>
      </c>
      <c r="AD327" s="216">
        <v>388.7</v>
      </c>
      <c r="AE327" s="216">
        <v>400.75</v>
      </c>
      <c r="AF327" s="215"/>
      <c r="AG327" s="333">
        <f>(AE327-AD327)/AD327</f>
        <v>0.03100077180344742</v>
      </c>
      <c r="AH327" s="302"/>
    </row>
    <row r="328" spans="1:34" ht="12.75">
      <c r="A328" s="263"/>
      <c r="B328" s="245"/>
      <c r="C328" s="241"/>
      <c r="D328" s="242"/>
      <c r="E328" s="264"/>
      <c r="F328" s="264"/>
      <c r="G328" s="264"/>
      <c r="H328" s="243"/>
      <c r="I328" s="243"/>
      <c r="J328" s="243"/>
      <c r="K328" s="243"/>
      <c r="L328" s="243"/>
      <c r="M328" s="243"/>
      <c r="N328" s="243"/>
      <c r="O328" s="243"/>
      <c r="P328" s="243"/>
      <c r="Q328" s="243"/>
      <c r="R328" s="243"/>
      <c r="S328" s="246"/>
      <c r="T328" s="246"/>
      <c r="U328" s="246"/>
      <c r="V328" s="246"/>
      <c r="W328" s="246"/>
      <c r="X328" s="246"/>
      <c r="Y328" s="246"/>
      <c r="Z328" s="246"/>
      <c r="AA328" s="246"/>
      <c r="AB328" s="246"/>
      <c r="AC328" s="246"/>
      <c r="AD328" s="246"/>
      <c r="AE328" s="246"/>
      <c r="AF328" s="246">
        <f>SUM(AE327:AE327)</f>
        <v>400.75</v>
      </c>
      <c r="AG328" s="332"/>
      <c r="AH328" s="300"/>
    </row>
    <row r="329" spans="1:34" ht="12.75">
      <c r="A329" s="244" t="s">
        <v>697</v>
      </c>
      <c r="B329" s="229" t="s">
        <v>635</v>
      </c>
      <c r="C329" s="237" t="s">
        <v>635</v>
      </c>
      <c r="D329" s="230">
        <v>781.5</v>
      </c>
      <c r="E329" s="258">
        <v>853.75</v>
      </c>
      <c r="F329" s="258">
        <v>906.9</v>
      </c>
      <c r="G329" s="258">
        <v>896.9</v>
      </c>
      <c r="H329" s="238">
        <v>902.75</v>
      </c>
      <c r="I329" s="238">
        <v>895.75</v>
      </c>
      <c r="J329" s="238">
        <v>877</v>
      </c>
      <c r="K329" s="238">
        <f>497.55+390.2</f>
        <v>887.75</v>
      </c>
      <c r="L329" s="238">
        <f>481.45+140.95+232.65</f>
        <v>855.05</v>
      </c>
      <c r="M329" s="238">
        <v>865.2</v>
      </c>
      <c r="N329" s="238">
        <v>864.75</v>
      </c>
      <c r="O329" s="238">
        <v>883.6</v>
      </c>
      <c r="P329" s="238">
        <v>866.7</v>
      </c>
      <c r="Q329" s="238">
        <v>864.25</v>
      </c>
      <c r="R329" s="238">
        <v>827.6</v>
      </c>
      <c r="S329" s="215">
        <v>797.13</v>
      </c>
      <c r="T329" s="216">
        <v>748.35</v>
      </c>
      <c r="U329" s="216">
        <v>724.5</v>
      </c>
      <c r="V329" s="216">
        <v>691.6</v>
      </c>
      <c r="W329" s="216">
        <v>671.4</v>
      </c>
      <c r="X329" s="216">
        <v>675.9</v>
      </c>
      <c r="Y329" s="216">
        <v>675.5</v>
      </c>
      <c r="Z329" s="216">
        <v>635.65</v>
      </c>
      <c r="AA329" s="216">
        <v>609.36</v>
      </c>
      <c r="AB329" s="216">
        <v>595.01</v>
      </c>
      <c r="AC329" s="216">
        <v>616.9</v>
      </c>
      <c r="AD329" s="216">
        <v>603.4</v>
      </c>
      <c r="AE329" s="216">
        <v>618.38</v>
      </c>
      <c r="AF329" s="215"/>
      <c r="AG329" s="333">
        <f>(AE329-AD329)/AD329</f>
        <v>0.024825986078886343</v>
      </c>
      <c r="AH329" s="302"/>
    </row>
    <row r="330" spans="1:34" ht="12.75">
      <c r="A330" s="263"/>
      <c r="B330" s="245"/>
      <c r="C330" s="241"/>
      <c r="D330" s="242"/>
      <c r="E330" s="264"/>
      <c r="F330" s="264"/>
      <c r="G330" s="264"/>
      <c r="H330" s="243"/>
      <c r="I330" s="243"/>
      <c r="J330" s="243"/>
      <c r="K330" s="243"/>
      <c r="L330" s="243"/>
      <c r="M330" s="243"/>
      <c r="N330" s="243"/>
      <c r="O330" s="243"/>
      <c r="P330" s="243"/>
      <c r="Q330" s="243"/>
      <c r="R330" s="243"/>
      <c r="S330" s="246"/>
      <c r="T330" s="246"/>
      <c r="U330" s="246"/>
      <c r="V330" s="246"/>
      <c r="W330" s="246"/>
      <c r="X330" s="246"/>
      <c r="Y330" s="246"/>
      <c r="Z330" s="246"/>
      <c r="AA330" s="246"/>
      <c r="AB330" s="246"/>
      <c r="AC330" s="246"/>
      <c r="AD330" s="246"/>
      <c r="AE330" s="246"/>
      <c r="AF330" s="246">
        <f>SUM(AE329:AE329)</f>
        <v>618.38</v>
      </c>
      <c r="AG330" s="332"/>
      <c r="AH330" s="300"/>
    </row>
    <row r="331" spans="1:34" ht="12.75">
      <c r="A331" s="244" t="s">
        <v>697</v>
      </c>
      <c r="B331" s="229" t="s">
        <v>637</v>
      </c>
      <c r="C331" s="237" t="s">
        <v>637</v>
      </c>
      <c r="D331" s="230">
        <v>508.9</v>
      </c>
      <c r="E331" s="258">
        <v>534</v>
      </c>
      <c r="F331" s="258">
        <v>519.2</v>
      </c>
      <c r="G331" s="258">
        <v>541.2</v>
      </c>
      <c r="H331" s="238">
        <v>566.85</v>
      </c>
      <c r="I331" s="238">
        <v>555</v>
      </c>
      <c r="J331" s="238">
        <v>528</v>
      </c>
      <c r="K331" s="238">
        <f>288.25+232.9</f>
        <v>521.15</v>
      </c>
      <c r="L331" s="238">
        <f>225.35+161.8+47.15+92.33</f>
        <v>526.63</v>
      </c>
      <c r="M331" s="238">
        <v>505.05</v>
      </c>
      <c r="N331" s="238">
        <v>488.35</v>
      </c>
      <c r="O331" s="238">
        <v>465.95</v>
      </c>
      <c r="P331" s="238">
        <v>435.45</v>
      </c>
      <c r="Q331" s="238">
        <v>391.78</v>
      </c>
      <c r="R331" s="238">
        <v>375.3</v>
      </c>
      <c r="S331" s="215">
        <v>369.85</v>
      </c>
      <c r="T331" s="216">
        <v>354.74</v>
      </c>
      <c r="U331" s="216">
        <v>346.45</v>
      </c>
      <c r="V331" s="216">
        <v>319.73</v>
      </c>
      <c r="W331" s="216">
        <v>312.25</v>
      </c>
      <c r="X331" s="216">
        <v>311.65</v>
      </c>
      <c r="Y331" s="216">
        <v>311.8</v>
      </c>
      <c r="Z331" s="216">
        <v>303.4</v>
      </c>
      <c r="AA331" s="216">
        <v>269.35</v>
      </c>
      <c r="AB331" s="216">
        <v>271.75</v>
      </c>
      <c r="AC331" s="216">
        <v>269.85</v>
      </c>
      <c r="AD331" s="216">
        <v>272.65</v>
      </c>
      <c r="AE331" s="216">
        <v>291.48</v>
      </c>
      <c r="AF331" s="215"/>
      <c r="AG331" s="333">
        <f>(AE331-AD331)/AD331</f>
        <v>0.0690629011553275</v>
      </c>
      <c r="AH331" s="302"/>
    </row>
    <row r="332" spans="1:34" ht="12.75">
      <c r="A332" s="263"/>
      <c r="B332" s="245"/>
      <c r="C332" s="241"/>
      <c r="D332" s="242"/>
      <c r="E332" s="264"/>
      <c r="F332" s="264"/>
      <c r="G332" s="264"/>
      <c r="H332" s="243"/>
      <c r="I332" s="243"/>
      <c r="J332" s="243"/>
      <c r="K332" s="243"/>
      <c r="L332" s="243"/>
      <c r="M332" s="243"/>
      <c r="N332" s="243"/>
      <c r="O332" s="243"/>
      <c r="P332" s="243"/>
      <c r="Q332" s="243"/>
      <c r="R332" s="243"/>
      <c r="S332" s="246"/>
      <c r="T332" s="246"/>
      <c r="U332" s="246"/>
      <c r="V332" s="246"/>
      <c r="W332" s="246"/>
      <c r="X332" s="246"/>
      <c r="Y332" s="246"/>
      <c r="Z332" s="246"/>
      <c r="AA332" s="246"/>
      <c r="AB332" s="246"/>
      <c r="AC332" s="246"/>
      <c r="AD332" s="246"/>
      <c r="AE332" s="246"/>
      <c r="AF332" s="246">
        <f>SUM(AE331:AE331)</f>
        <v>291.48</v>
      </c>
      <c r="AG332" s="372"/>
      <c r="AH332" s="364"/>
    </row>
    <row r="333" spans="1:34" ht="12.75">
      <c r="A333" s="244" t="s">
        <v>685</v>
      </c>
      <c r="B333" s="229" t="s">
        <v>639</v>
      </c>
      <c r="C333" s="237" t="s">
        <v>639</v>
      </c>
      <c r="D333" s="230">
        <v>150</v>
      </c>
      <c r="E333" s="258">
        <v>139</v>
      </c>
      <c r="F333" s="258">
        <v>136</v>
      </c>
      <c r="G333" s="258">
        <v>150</v>
      </c>
      <c r="H333" s="238">
        <v>167</v>
      </c>
      <c r="I333" s="238">
        <v>175</v>
      </c>
      <c r="J333" s="238">
        <v>160</v>
      </c>
      <c r="K333" s="238">
        <v>161</v>
      </c>
      <c r="L333" s="238">
        <v>166</v>
      </c>
      <c r="M333" s="238">
        <v>159.75</v>
      </c>
      <c r="N333" s="238">
        <v>151.25</v>
      </c>
      <c r="O333" s="238">
        <v>161</v>
      </c>
      <c r="P333" s="238">
        <v>144.25</v>
      </c>
      <c r="Q333" s="238">
        <v>125</v>
      </c>
      <c r="R333" s="238">
        <v>133.15</v>
      </c>
      <c r="S333" s="215">
        <v>132.5</v>
      </c>
      <c r="T333" s="216">
        <v>117.75</v>
      </c>
      <c r="U333" s="216">
        <v>121.85</v>
      </c>
      <c r="V333" s="216">
        <v>121.25</v>
      </c>
      <c r="W333" s="216">
        <v>110.3</v>
      </c>
      <c r="X333" s="216">
        <v>119.25</v>
      </c>
      <c r="Y333" s="216">
        <v>104.9</v>
      </c>
      <c r="Z333" s="216">
        <v>88.25</v>
      </c>
      <c r="AA333" s="216">
        <v>90.05</v>
      </c>
      <c r="AB333" s="216">
        <v>89.05</v>
      </c>
      <c r="AC333" s="216">
        <v>68.49</v>
      </c>
      <c r="AD333" s="216">
        <v>60.76</v>
      </c>
      <c r="AE333" s="216">
        <v>61.9</v>
      </c>
      <c r="AF333" s="215"/>
      <c r="AG333" s="333">
        <f>(AE333-AD333)/AD333</f>
        <v>0.018762343647136283</v>
      </c>
      <c r="AH333" s="370"/>
    </row>
    <row r="334" spans="1:34" ht="12.75">
      <c r="A334" s="231"/>
      <c r="B334" s="250"/>
      <c r="C334" s="251" t="s">
        <v>741</v>
      </c>
      <c r="D334" s="233"/>
      <c r="E334" s="260"/>
      <c r="F334" s="260"/>
      <c r="G334" s="260"/>
      <c r="H334" s="234"/>
      <c r="I334" s="234"/>
      <c r="J334" s="234"/>
      <c r="K334" s="234">
        <v>8</v>
      </c>
      <c r="L334" s="234">
        <v>6</v>
      </c>
      <c r="M334" s="234"/>
      <c r="N334" s="234">
        <v>15</v>
      </c>
      <c r="O334" s="234">
        <v>11</v>
      </c>
      <c r="P334" s="234" t="s">
        <v>687</v>
      </c>
      <c r="Q334" s="234" t="s">
        <v>687</v>
      </c>
      <c r="R334" s="234" t="s">
        <v>687</v>
      </c>
      <c r="S334" s="234" t="s">
        <v>687</v>
      </c>
      <c r="T334" s="252" t="s">
        <v>687</v>
      </c>
      <c r="U334" s="252" t="s">
        <v>687</v>
      </c>
      <c r="V334" s="252" t="s">
        <v>687</v>
      </c>
      <c r="W334" s="252" t="s">
        <v>687</v>
      </c>
      <c r="X334" s="252" t="s">
        <v>687</v>
      </c>
      <c r="Y334" s="356" t="s">
        <v>687</v>
      </c>
      <c r="Z334" s="356" t="s">
        <v>687</v>
      </c>
      <c r="AA334" s="356" t="s">
        <v>687</v>
      </c>
      <c r="AB334" s="356" t="s">
        <v>687</v>
      </c>
      <c r="AC334" s="356" t="s">
        <v>687</v>
      </c>
      <c r="AD334" s="236" t="s">
        <v>687</v>
      </c>
      <c r="AE334" s="236" t="s">
        <v>687</v>
      </c>
      <c r="AF334" s="235"/>
      <c r="AG334" s="335"/>
      <c r="AH334" s="298"/>
    </row>
    <row r="335" spans="1:34" ht="12.75">
      <c r="A335" s="374"/>
      <c r="B335" s="245"/>
      <c r="C335" s="241"/>
      <c r="D335" s="242"/>
      <c r="E335" s="264"/>
      <c r="F335" s="264"/>
      <c r="G335" s="264"/>
      <c r="H335" s="243"/>
      <c r="I335" s="243"/>
      <c r="J335" s="243"/>
      <c r="K335" s="243"/>
      <c r="L335" s="243"/>
      <c r="M335" s="243"/>
      <c r="N335" s="243"/>
      <c r="O335" s="243"/>
      <c r="P335" s="243"/>
      <c r="Q335" s="243"/>
      <c r="R335" s="243"/>
      <c r="S335" s="246"/>
      <c r="T335" s="246"/>
      <c r="U335" s="246"/>
      <c r="V335" s="246"/>
      <c r="W335" s="246"/>
      <c r="X335" s="246"/>
      <c r="Y335" s="246"/>
      <c r="Z335" s="246"/>
      <c r="AA335" s="246"/>
      <c r="AB335" s="246"/>
      <c r="AC335" s="246"/>
      <c r="AD335" s="246"/>
      <c r="AE335" s="246"/>
      <c r="AF335" s="246">
        <f>SUM(AE333:AE334)</f>
        <v>61.9</v>
      </c>
      <c r="AG335" s="372"/>
      <c r="AH335" s="364"/>
    </row>
    <row r="336" spans="1:34" ht="12.75">
      <c r="A336" s="244" t="s">
        <v>685</v>
      </c>
      <c r="B336" s="229" t="s">
        <v>641</v>
      </c>
      <c r="C336" s="237" t="s">
        <v>944</v>
      </c>
      <c r="D336" s="230">
        <v>32</v>
      </c>
      <c r="E336" s="258">
        <v>25.35</v>
      </c>
      <c r="F336" s="258">
        <v>33</v>
      </c>
      <c r="G336" s="258">
        <v>39.7</v>
      </c>
      <c r="H336" s="238">
        <v>38.5</v>
      </c>
      <c r="I336" s="238">
        <v>43.85</v>
      </c>
      <c r="J336" s="238">
        <v>47.95</v>
      </c>
      <c r="K336" s="238">
        <v>44.25</v>
      </c>
      <c r="L336" s="238">
        <v>47.25</v>
      </c>
      <c r="M336" s="238">
        <v>49.9</v>
      </c>
      <c r="N336" s="238">
        <v>39.1</v>
      </c>
      <c r="O336" s="238">
        <v>45</v>
      </c>
      <c r="P336" s="238">
        <v>49</v>
      </c>
      <c r="Q336" s="238">
        <v>37</v>
      </c>
      <c r="R336" s="238">
        <v>38</v>
      </c>
      <c r="S336" s="215">
        <v>32.5</v>
      </c>
      <c r="T336" s="216">
        <v>39</v>
      </c>
      <c r="U336" s="216">
        <v>41.14</v>
      </c>
      <c r="V336" s="216">
        <v>32</v>
      </c>
      <c r="W336" s="216">
        <v>32.4</v>
      </c>
      <c r="X336" s="216">
        <v>23.4</v>
      </c>
      <c r="Y336" s="216">
        <v>29.5</v>
      </c>
      <c r="Z336" s="216">
        <v>27.65</v>
      </c>
      <c r="AA336" s="216">
        <v>28.3</v>
      </c>
      <c r="AB336" s="216">
        <v>33.25</v>
      </c>
      <c r="AC336" s="216">
        <v>31.65</v>
      </c>
      <c r="AD336" s="216">
        <v>39</v>
      </c>
      <c r="AE336" s="216">
        <v>33.95</v>
      </c>
      <c r="AF336" s="215"/>
      <c r="AG336" s="333">
        <f>(AE336-AD336)/AD336</f>
        <v>-0.12948717948717942</v>
      </c>
      <c r="AH336" s="370"/>
    </row>
    <row r="337" spans="1:34" ht="12.75">
      <c r="A337" s="373"/>
      <c r="B337" s="229"/>
      <c r="C337" s="237" t="s">
        <v>945</v>
      </c>
      <c r="D337" s="230">
        <v>17</v>
      </c>
      <c r="E337" s="258">
        <v>17.77</v>
      </c>
      <c r="F337" s="258">
        <v>28</v>
      </c>
      <c r="G337" s="258">
        <v>24.1</v>
      </c>
      <c r="H337" s="238">
        <v>18</v>
      </c>
      <c r="I337" s="238">
        <v>23.75</v>
      </c>
      <c r="J337" s="238">
        <v>23</v>
      </c>
      <c r="K337" s="238">
        <v>29</v>
      </c>
      <c r="L337" s="238">
        <v>28</v>
      </c>
      <c r="M337" s="238">
        <v>25.1</v>
      </c>
      <c r="N337" s="238">
        <v>19</v>
      </c>
      <c r="O337" s="238">
        <v>17.45</v>
      </c>
      <c r="P337" s="238">
        <v>19.45</v>
      </c>
      <c r="Q337" s="238">
        <v>16</v>
      </c>
      <c r="R337" s="238">
        <v>15</v>
      </c>
      <c r="S337" s="215">
        <v>15</v>
      </c>
      <c r="T337" s="216">
        <v>11.25</v>
      </c>
      <c r="U337" s="216">
        <v>10</v>
      </c>
      <c r="V337" s="216">
        <v>10.75</v>
      </c>
      <c r="W337" s="216">
        <v>13</v>
      </c>
      <c r="X337" s="216">
        <v>10</v>
      </c>
      <c r="Y337" s="216">
        <v>13</v>
      </c>
      <c r="Z337" s="216">
        <v>10.8</v>
      </c>
      <c r="AA337" s="216">
        <v>10.65</v>
      </c>
      <c r="AB337" s="216">
        <v>10</v>
      </c>
      <c r="AC337" s="216">
        <v>8.5</v>
      </c>
      <c r="AD337" s="216">
        <v>14</v>
      </c>
      <c r="AE337" s="216">
        <v>13</v>
      </c>
      <c r="AF337" s="215"/>
      <c r="AG337" s="333">
        <f>(AE337-AD337)/AD337</f>
        <v>-0.07142857142857142</v>
      </c>
      <c r="AH337" s="302"/>
    </row>
    <row r="338" spans="1:34" ht="12.75">
      <c r="A338" s="249"/>
      <c r="B338" s="250"/>
      <c r="C338" s="251" t="s">
        <v>946</v>
      </c>
      <c r="D338" s="233">
        <v>16</v>
      </c>
      <c r="E338" s="260">
        <v>14.15</v>
      </c>
      <c r="F338" s="260">
        <v>14</v>
      </c>
      <c r="G338" s="260">
        <v>11</v>
      </c>
      <c r="H338" s="234">
        <v>10.25</v>
      </c>
      <c r="I338" s="234">
        <v>7.15</v>
      </c>
      <c r="J338" s="234">
        <v>9.2</v>
      </c>
      <c r="K338" s="234">
        <v>8.4</v>
      </c>
      <c r="L338" s="234">
        <v>7.9</v>
      </c>
      <c r="M338" s="234" t="s">
        <v>687</v>
      </c>
      <c r="N338" s="234" t="s">
        <v>687</v>
      </c>
      <c r="O338" s="234" t="s">
        <v>687</v>
      </c>
      <c r="P338" s="234" t="s">
        <v>687</v>
      </c>
      <c r="Q338" s="234" t="s">
        <v>687</v>
      </c>
      <c r="R338" s="234" t="s">
        <v>687</v>
      </c>
      <c r="S338" s="234" t="s">
        <v>687</v>
      </c>
      <c r="T338" s="306" t="s">
        <v>687</v>
      </c>
      <c r="U338" s="306" t="s">
        <v>687</v>
      </c>
      <c r="V338" s="306" t="s">
        <v>687</v>
      </c>
      <c r="W338" s="306" t="s">
        <v>687</v>
      </c>
      <c r="X338" s="306" t="s">
        <v>687</v>
      </c>
      <c r="Y338" s="356" t="s">
        <v>687</v>
      </c>
      <c r="Z338" s="356" t="s">
        <v>687</v>
      </c>
      <c r="AA338" s="356" t="s">
        <v>687</v>
      </c>
      <c r="AB338" s="356" t="s">
        <v>687</v>
      </c>
      <c r="AC338" s="356" t="s">
        <v>687</v>
      </c>
      <c r="AD338" s="236" t="s">
        <v>687</v>
      </c>
      <c r="AE338" s="236" t="s">
        <v>687</v>
      </c>
      <c r="AF338" s="235"/>
      <c r="AG338" s="334"/>
      <c r="AH338" s="304"/>
    </row>
    <row r="339" spans="1:34" ht="12.75">
      <c r="A339" s="373"/>
      <c r="B339" s="229"/>
      <c r="C339" s="389" t="s">
        <v>947</v>
      </c>
      <c r="D339" s="230">
        <v>12.65</v>
      </c>
      <c r="E339" s="258">
        <v>7.15</v>
      </c>
      <c r="F339" s="258"/>
      <c r="G339" s="258"/>
      <c r="H339" s="238">
        <v>15</v>
      </c>
      <c r="I339" s="238">
        <v>13.9</v>
      </c>
      <c r="J339" s="238">
        <v>11</v>
      </c>
      <c r="K339" s="238">
        <v>21</v>
      </c>
      <c r="L339" s="238">
        <v>16.7</v>
      </c>
      <c r="M339" s="238">
        <v>17</v>
      </c>
      <c r="N339" s="238">
        <v>19.9</v>
      </c>
      <c r="O339" s="238">
        <v>14</v>
      </c>
      <c r="P339" s="238">
        <v>12.5</v>
      </c>
      <c r="Q339" s="238">
        <v>11</v>
      </c>
      <c r="R339" s="238">
        <v>11</v>
      </c>
      <c r="S339" s="215">
        <v>10.4</v>
      </c>
      <c r="T339" s="216">
        <v>13</v>
      </c>
      <c r="U339" s="216">
        <v>11</v>
      </c>
      <c r="V339" s="216">
        <v>12</v>
      </c>
      <c r="W339" s="216">
        <v>10</v>
      </c>
      <c r="X339" s="356" t="s">
        <v>687</v>
      </c>
      <c r="Y339" s="356" t="s">
        <v>687</v>
      </c>
      <c r="Z339" s="356" t="s">
        <v>687</v>
      </c>
      <c r="AA339" s="356" t="s">
        <v>687</v>
      </c>
      <c r="AB339" s="356" t="s">
        <v>687</v>
      </c>
      <c r="AC339" s="356" t="s">
        <v>687</v>
      </c>
      <c r="AD339" s="236" t="s">
        <v>687</v>
      </c>
      <c r="AE339" s="236" t="s">
        <v>687</v>
      </c>
      <c r="AF339" s="215"/>
      <c r="AG339" s="333"/>
      <c r="AH339" s="302"/>
    </row>
    <row r="340" spans="1:34" ht="12.75">
      <c r="A340" s="373"/>
      <c r="B340" s="229"/>
      <c r="C340" s="237" t="s">
        <v>1236</v>
      </c>
      <c r="D340" s="230">
        <v>25</v>
      </c>
      <c r="E340" s="258">
        <v>28</v>
      </c>
      <c r="F340" s="258">
        <v>26</v>
      </c>
      <c r="G340" s="258">
        <v>25.8</v>
      </c>
      <c r="H340" s="238">
        <v>21</v>
      </c>
      <c r="I340" s="238">
        <v>16.75</v>
      </c>
      <c r="J340" s="238">
        <v>20.7</v>
      </c>
      <c r="K340" s="238">
        <v>18</v>
      </c>
      <c r="L340" s="238">
        <v>22.75</v>
      </c>
      <c r="M340" s="238">
        <v>17.9</v>
      </c>
      <c r="N340" s="238">
        <v>15</v>
      </c>
      <c r="O340" s="238">
        <v>21.8</v>
      </c>
      <c r="P340" s="238">
        <v>20.5</v>
      </c>
      <c r="Q340" s="238">
        <v>24</v>
      </c>
      <c r="R340" s="238">
        <v>17.6</v>
      </c>
      <c r="S340" s="215">
        <v>21</v>
      </c>
      <c r="T340" s="216">
        <v>18.7</v>
      </c>
      <c r="U340" s="216">
        <v>20</v>
      </c>
      <c r="V340" s="216">
        <v>20</v>
      </c>
      <c r="W340" s="216">
        <v>19.9</v>
      </c>
      <c r="X340" s="216">
        <v>11</v>
      </c>
      <c r="Y340" s="216">
        <v>17.75</v>
      </c>
      <c r="Z340" s="216">
        <v>12</v>
      </c>
      <c r="AA340" s="216">
        <v>15.05</v>
      </c>
      <c r="AB340" s="216">
        <v>10.8</v>
      </c>
      <c r="AC340" s="216">
        <v>10.65</v>
      </c>
      <c r="AD340" s="216">
        <v>17</v>
      </c>
      <c r="AE340" s="216">
        <v>11.75</v>
      </c>
      <c r="AF340" s="215"/>
      <c r="AG340" s="333">
        <f>(AE340-AD340)/AD340</f>
        <v>-0.3088235294117647</v>
      </c>
      <c r="AH340" s="302"/>
    </row>
    <row r="341" spans="1:34" ht="12.75">
      <c r="A341" s="262"/>
      <c r="B341" s="229"/>
      <c r="C341" s="237" t="s">
        <v>948</v>
      </c>
      <c r="D341" s="230">
        <v>21.5</v>
      </c>
      <c r="E341" s="230">
        <v>24.85</v>
      </c>
      <c r="F341" s="230">
        <v>23</v>
      </c>
      <c r="G341" s="230">
        <v>22</v>
      </c>
      <c r="H341" s="238">
        <v>28</v>
      </c>
      <c r="I341" s="238">
        <v>22.5</v>
      </c>
      <c r="J341" s="238">
        <v>22</v>
      </c>
      <c r="K341" s="238">
        <v>28</v>
      </c>
      <c r="L341" s="238">
        <v>27.4</v>
      </c>
      <c r="M341" s="238">
        <v>33.1</v>
      </c>
      <c r="N341" s="238">
        <v>24.6</v>
      </c>
      <c r="O341" s="238">
        <v>27.95</v>
      </c>
      <c r="P341" s="238">
        <v>22.7</v>
      </c>
      <c r="Q341" s="238">
        <v>23</v>
      </c>
      <c r="R341" s="238">
        <v>22.25</v>
      </c>
      <c r="S341" s="215">
        <v>20.08</v>
      </c>
      <c r="T341" s="216">
        <v>22.3</v>
      </c>
      <c r="U341" s="216">
        <v>21.68</v>
      </c>
      <c r="V341" s="216">
        <v>22.75</v>
      </c>
      <c r="W341" s="216">
        <v>19</v>
      </c>
      <c r="X341" s="216">
        <v>21</v>
      </c>
      <c r="Y341" s="216">
        <v>15</v>
      </c>
      <c r="Z341" s="216">
        <v>21.75</v>
      </c>
      <c r="AA341" s="216">
        <v>16.5</v>
      </c>
      <c r="AB341" s="216">
        <v>21.25</v>
      </c>
      <c r="AC341" s="216">
        <v>16.05</v>
      </c>
      <c r="AD341" s="216">
        <v>23</v>
      </c>
      <c r="AE341" s="216">
        <v>15.75</v>
      </c>
      <c r="AF341" s="215"/>
      <c r="AG341" s="333">
        <f>(AE341-AD341)/AD341</f>
        <v>-0.31521739130434784</v>
      </c>
      <c r="AH341" s="302"/>
    </row>
    <row r="342" spans="1:34" ht="12.75">
      <c r="A342" s="262"/>
      <c r="B342" s="229"/>
      <c r="C342" s="237" t="s">
        <v>949</v>
      </c>
      <c r="D342" s="230">
        <v>143</v>
      </c>
      <c r="E342" s="230">
        <v>146.9</v>
      </c>
      <c r="F342" s="230">
        <v>143.55</v>
      </c>
      <c r="G342" s="230">
        <v>154.2</v>
      </c>
      <c r="H342" s="238">
        <v>138.7</v>
      </c>
      <c r="I342" s="238">
        <v>146.95</v>
      </c>
      <c r="J342" s="238">
        <v>167.95</v>
      </c>
      <c r="K342" s="238">
        <v>178.5</v>
      </c>
      <c r="L342" s="230">
        <v>133.2</v>
      </c>
      <c r="M342" s="230">
        <v>138.9</v>
      </c>
      <c r="N342" s="230">
        <v>126.25</v>
      </c>
      <c r="O342" s="230">
        <v>110.15</v>
      </c>
      <c r="P342" s="230">
        <v>115.05</v>
      </c>
      <c r="Q342" s="230">
        <v>123</v>
      </c>
      <c r="R342" s="230">
        <v>121.4</v>
      </c>
      <c r="S342" s="215">
        <v>117.3</v>
      </c>
      <c r="T342" s="216">
        <v>118.03</v>
      </c>
      <c r="U342" s="216">
        <v>120.9</v>
      </c>
      <c r="V342" s="216">
        <v>114.5</v>
      </c>
      <c r="W342" s="216">
        <v>110.4</v>
      </c>
      <c r="X342" s="216">
        <v>114.45</v>
      </c>
      <c r="Y342" s="216">
        <v>112.4</v>
      </c>
      <c r="Z342" s="216">
        <v>115.1</v>
      </c>
      <c r="AA342" s="216">
        <v>120.75</v>
      </c>
      <c r="AB342" s="216">
        <v>108.3</v>
      </c>
      <c r="AC342" s="216">
        <v>110.05</v>
      </c>
      <c r="AD342" s="216">
        <v>97.15</v>
      </c>
      <c r="AE342" s="216">
        <v>106.8</v>
      </c>
      <c r="AF342" s="215"/>
      <c r="AG342" s="333">
        <f>(AE342-AD342)/AD342</f>
        <v>0.09933093154915071</v>
      </c>
      <c r="AH342" s="302"/>
    </row>
    <row r="343" spans="1:34" ht="12.75">
      <c r="A343" s="259"/>
      <c r="B343" s="250"/>
      <c r="C343" s="232" t="s">
        <v>950</v>
      </c>
      <c r="D343" s="233"/>
      <c r="E343" s="233"/>
      <c r="F343" s="233"/>
      <c r="G343" s="233">
        <v>22.2</v>
      </c>
      <c r="H343" s="234">
        <v>25</v>
      </c>
      <c r="I343" s="234">
        <v>25.3</v>
      </c>
      <c r="J343" s="234">
        <v>27.5</v>
      </c>
      <c r="K343" s="234">
        <v>24</v>
      </c>
      <c r="L343" s="234">
        <v>7</v>
      </c>
      <c r="M343" s="234" t="s">
        <v>687</v>
      </c>
      <c r="N343" s="234" t="s">
        <v>687</v>
      </c>
      <c r="O343" s="234" t="s">
        <v>687</v>
      </c>
      <c r="P343" s="234" t="s">
        <v>687</v>
      </c>
      <c r="Q343" s="234" t="s">
        <v>687</v>
      </c>
      <c r="R343" s="234" t="s">
        <v>687</v>
      </c>
      <c r="S343" s="234" t="s">
        <v>687</v>
      </c>
      <c r="T343" s="306" t="s">
        <v>687</v>
      </c>
      <c r="U343" s="306" t="s">
        <v>687</v>
      </c>
      <c r="V343" s="306" t="s">
        <v>687</v>
      </c>
      <c r="W343" s="306" t="s">
        <v>687</v>
      </c>
      <c r="X343" s="306" t="s">
        <v>687</v>
      </c>
      <c r="Y343" s="356" t="s">
        <v>687</v>
      </c>
      <c r="Z343" s="356" t="s">
        <v>687</v>
      </c>
      <c r="AA343" s="356" t="s">
        <v>687</v>
      </c>
      <c r="AB343" s="356" t="s">
        <v>687</v>
      </c>
      <c r="AC343" s="356" t="s">
        <v>687</v>
      </c>
      <c r="AD343" s="236" t="s">
        <v>687</v>
      </c>
      <c r="AE343" s="236" t="s">
        <v>687</v>
      </c>
      <c r="AF343" s="235"/>
      <c r="AG343" s="333"/>
      <c r="AH343" s="304"/>
    </row>
    <row r="344" spans="1:34" ht="12.75">
      <c r="A344" s="259"/>
      <c r="B344" s="250"/>
      <c r="C344" s="251" t="s">
        <v>1261</v>
      </c>
      <c r="D344" s="233">
        <v>21</v>
      </c>
      <c r="E344" s="233">
        <v>18</v>
      </c>
      <c r="F344" s="233">
        <v>18</v>
      </c>
      <c r="G344" s="233">
        <v>16</v>
      </c>
      <c r="H344" s="234">
        <v>18.8</v>
      </c>
      <c r="I344" s="234">
        <v>20.75</v>
      </c>
      <c r="J344" s="234">
        <v>12.3</v>
      </c>
      <c r="K344" s="234">
        <v>10</v>
      </c>
      <c r="L344" s="234">
        <v>5</v>
      </c>
      <c r="M344" s="234" t="s">
        <v>687</v>
      </c>
      <c r="N344" s="234" t="s">
        <v>687</v>
      </c>
      <c r="O344" s="234" t="s">
        <v>687</v>
      </c>
      <c r="P344" s="234" t="s">
        <v>687</v>
      </c>
      <c r="Q344" s="234" t="s">
        <v>687</v>
      </c>
      <c r="R344" s="234" t="s">
        <v>687</v>
      </c>
      <c r="S344" s="234" t="s">
        <v>687</v>
      </c>
      <c r="T344" s="306" t="s">
        <v>687</v>
      </c>
      <c r="U344" s="306" t="s">
        <v>687</v>
      </c>
      <c r="V344" s="306" t="s">
        <v>687</v>
      </c>
      <c r="W344" s="306" t="s">
        <v>687</v>
      </c>
      <c r="X344" s="306" t="s">
        <v>687</v>
      </c>
      <c r="Y344" s="356" t="s">
        <v>687</v>
      </c>
      <c r="Z344" s="356" t="s">
        <v>687</v>
      </c>
      <c r="AA344" s="356" t="s">
        <v>687</v>
      </c>
      <c r="AB344" s="356" t="s">
        <v>687</v>
      </c>
      <c r="AC344" s="216">
        <v>10</v>
      </c>
      <c r="AD344" s="236" t="s">
        <v>1260</v>
      </c>
      <c r="AE344" s="236" t="s">
        <v>1260</v>
      </c>
      <c r="AF344" s="235"/>
      <c r="AG344" s="333"/>
      <c r="AH344" s="304"/>
    </row>
    <row r="345" spans="1:34" ht="12.75">
      <c r="A345" s="262"/>
      <c r="B345" s="229"/>
      <c r="C345" s="389" t="s">
        <v>952</v>
      </c>
      <c r="D345" s="230">
        <v>20</v>
      </c>
      <c r="E345" s="230">
        <v>18</v>
      </c>
      <c r="F345" s="230">
        <v>25</v>
      </c>
      <c r="G345" s="230">
        <v>29</v>
      </c>
      <c r="H345" s="238">
        <v>27</v>
      </c>
      <c r="I345" s="238">
        <v>34.3</v>
      </c>
      <c r="J345" s="238">
        <v>28</v>
      </c>
      <c r="K345" s="238">
        <v>30.05</v>
      </c>
      <c r="L345" s="238">
        <v>25.35</v>
      </c>
      <c r="M345" s="238">
        <v>17</v>
      </c>
      <c r="N345" s="238">
        <v>21.1</v>
      </c>
      <c r="O345" s="238">
        <v>19.55</v>
      </c>
      <c r="P345" s="238">
        <v>18.75</v>
      </c>
      <c r="Q345" s="238">
        <v>16</v>
      </c>
      <c r="R345" s="238">
        <v>12.65</v>
      </c>
      <c r="S345" s="215">
        <v>10</v>
      </c>
      <c r="T345" s="216">
        <v>8.1</v>
      </c>
      <c r="U345" s="216">
        <v>10</v>
      </c>
      <c r="V345" s="216">
        <v>11.5</v>
      </c>
      <c r="W345" s="216">
        <v>15</v>
      </c>
      <c r="X345" s="216">
        <v>11.8</v>
      </c>
      <c r="Y345" s="216">
        <v>11</v>
      </c>
      <c r="Z345" s="216">
        <v>12.65</v>
      </c>
      <c r="AA345" s="216">
        <v>1.7</v>
      </c>
      <c r="AB345" s="356" t="s">
        <v>687</v>
      </c>
      <c r="AC345" s="356" t="s">
        <v>687</v>
      </c>
      <c r="AD345" s="236" t="s">
        <v>687</v>
      </c>
      <c r="AE345" s="236" t="s">
        <v>687</v>
      </c>
      <c r="AF345" s="215"/>
      <c r="AG345" s="333"/>
      <c r="AH345" s="302"/>
    </row>
    <row r="346" spans="1:34" ht="12.75">
      <c r="A346" s="262"/>
      <c r="B346" s="370"/>
      <c r="C346" s="237" t="s">
        <v>953</v>
      </c>
      <c r="D346" s="230">
        <v>66.6</v>
      </c>
      <c r="E346" s="230">
        <v>77.7</v>
      </c>
      <c r="F346" s="230">
        <v>77.3</v>
      </c>
      <c r="G346" s="230">
        <v>54.9</v>
      </c>
      <c r="H346" s="238">
        <v>64.9</v>
      </c>
      <c r="I346" s="238">
        <v>54.5</v>
      </c>
      <c r="J346" s="238">
        <v>74.4</v>
      </c>
      <c r="K346" s="238">
        <v>57.05</v>
      </c>
      <c r="L346" s="238">
        <v>44.2</v>
      </c>
      <c r="M346" s="238">
        <v>42.2</v>
      </c>
      <c r="N346" s="238">
        <v>42.05</v>
      </c>
      <c r="O346" s="238">
        <v>38.05</v>
      </c>
      <c r="P346" s="238">
        <v>43.3</v>
      </c>
      <c r="Q346" s="238">
        <v>50</v>
      </c>
      <c r="R346" s="238">
        <v>38</v>
      </c>
      <c r="S346" s="215">
        <v>44.05</v>
      </c>
      <c r="T346" s="216">
        <v>35.5</v>
      </c>
      <c r="U346" s="216">
        <v>46.02</v>
      </c>
      <c r="V346" s="216">
        <v>47.3</v>
      </c>
      <c r="W346" s="216">
        <v>52</v>
      </c>
      <c r="X346" s="216">
        <v>55</v>
      </c>
      <c r="Y346" s="216">
        <v>57.1</v>
      </c>
      <c r="Z346" s="216">
        <v>56.6</v>
      </c>
      <c r="AA346" s="216">
        <v>50.85</v>
      </c>
      <c r="AB346" s="216">
        <v>56.4</v>
      </c>
      <c r="AC346" s="216">
        <v>50.65</v>
      </c>
      <c r="AD346" s="216">
        <v>58.65</v>
      </c>
      <c r="AE346" s="216">
        <v>58.15</v>
      </c>
      <c r="AF346" s="215"/>
      <c r="AG346" s="333">
        <f>(AE346-AD346)/AD346</f>
        <v>-0.008525149190110827</v>
      </c>
      <c r="AH346" s="302"/>
    </row>
    <row r="347" spans="1:34" ht="12.75">
      <c r="A347" s="374"/>
      <c r="B347" s="240"/>
      <c r="C347" s="241"/>
      <c r="D347" s="242"/>
      <c r="E347" s="242"/>
      <c r="F347" s="242"/>
      <c r="G347" s="242"/>
      <c r="H347" s="242"/>
      <c r="I347" s="242"/>
      <c r="J347" s="242"/>
      <c r="K347" s="242"/>
      <c r="L347" s="243"/>
      <c r="M347" s="243"/>
      <c r="N347" s="243"/>
      <c r="O347" s="243"/>
      <c r="P347" s="243"/>
      <c r="Q347" s="243"/>
      <c r="R347" s="243"/>
      <c r="S347" s="243"/>
      <c r="T347" s="243"/>
      <c r="U347" s="243"/>
      <c r="V347" s="243"/>
      <c r="W347" s="243"/>
      <c r="X347" s="243"/>
      <c r="Y347" s="243"/>
      <c r="Z347" s="243"/>
      <c r="AA347" s="243"/>
      <c r="AB347" s="243"/>
      <c r="AC347" s="243"/>
      <c r="AD347" s="243"/>
      <c r="AE347" s="243"/>
      <c r="AF347" s="246">
        <f>SUM(AE336:AE346)</f>
        <v>239.4</v>
      </c>
      <c r="AG347" s="332"/>
      <c r="AH347" s="300"/>
    </row>
    <row r="348" spans="1:34" ht="12.75">
      <c r="A348" s="244" t="s">
        <v>685</v>
      </c>
      <c r="B348" s="229" t="s">
        <v>649</v>
      </c>
      <c r="C348" s="237" t="s">
        <v>954</v>
      </c>
      <c r="D348" s="230">
        <v>42.2</v>
      </c>
      <c r="E348" s="230">
        <v>44</v>
      </c>
      <c r="F348" s="230">
        <v>44.85</v>
      </c>
      <c r="G348" s="230">
        <v>52</v>
      </c>
      <c r="H348" s="238">
        <v>35.8</v>
      </c>
      <c r="I348" s="238">
        <v>52.65</v>
      </c>
      <c r="J348" s="238">
        <v>52.25</v>
      </c>
      <c r="K348" s="238">
        <v>54.05</v>
      </c>
      <c r="L348" s="238">
        <v>53.65</v>
      </c>
      <c r="M348" s="238">
        <v>48.75</v>
      </c>
      <c r="N348" s="238">
        <v>47</v>
      </c>
      <c r="O348" s="238">
        <v>44</v>
      </c>
      <c r="P348" s="238">
        <v>52</v>
      </c>
      <c r="Q348" s="238">
        <v>44</v>
      </c>
      <c r="R348" s="238">
        <v>54</v>
      </c>
      <c r="S348" s="215">
        <v>51.8</v>
      </c>
      <c r="T348" s="216">
        <v>46</v>
      </c>
      <c r="U348" s="216">
        <v>42</v>
      </c>
      <c r="V348" s="216">
        <v>40</v>
      </c>
      <c r="W348" s="216">
        <v>38.9</v>
      </c>
      <c r="X348" s="216">
        <v>40.75</v>
      </c>
      <c r="Y348" s="216">
        <v>35.5</v>
      </c>
      <c r="Z348" s="216">
        <v>40.5</v>
      </c>
      <c r="AA348" s="216">
        <v>36</v>
      </c>
      <c r="AB348" s="216">
        <v>31.95</v>
      </c>
      <c r="AC348" s="216">
        <v>30.55</v>
      </c>
      <c r="AD348" s="216">
        <v>26.75</v>
      </c>
      <c r="AE348" s="216">
        <v>25</v>
      </c>
      <c r="AF348" s="215"/>
      <c r="AG348" s="333">
        <f>(AE348-AD348)/AD348</f>
        <v>-0.06542056074766354</v>
      </c>
      <c r="AH348" s="302"/>
    </row>
    <row r="349" spans="1:34" ht="12.75">
      <c r="A349" s="249"/>
      <c r="B349" s="250"/>
      <c r="C349" s="251" t="s">
        <v>955</v>
      </c>
      <c r="D349" s="233">
        <v>12.25</v>
      </c>
      <c r="E349" s="233">
        <v>9.25</v>
      </c>
      <c r="F349" s="233">
        <v>8</v>
      </c>
      <c r="G349" s="233">
        <v>9</v>
      </c>
      <c r="H349" s="234">
        <v>15.15</v>
      </c>
      <c r="I349" s="234">
        <v>8.7</v>
      </c>
      <c r="J349" s="234">
        <v>9</v>
      </c>
      <c r="K349" s="234">
        <v>7</v>
      </c>
      <c r="L349" s="234">
        <v>14</v>
      </c>
      <c r="M349" s="234">
        <v>16</v>
      </c>
      <c r="N349" s="234">
        <v>17</v>
      </c>
      <c r="O349" s="234">
        <v>10.6</v>
      </c>
      <c r="P349" s="234">
        <v>0</v>
      </c>
      <c r="Q349" s="234" t="s">
        <v>687</v>
      </c>
      <c r="R349" s="234" t="s">
        <v>687</v>
      </c>
      <c r="S349" s="234" t="s">
        <v>687</v>
      </c>
      <c r="T349" s="306" t="s">
        <v>687</v>
      </c>
      <c r="U349" s="306" t="s">
        <v>687</v>
      </c>
      <c r="V349" s="306" t="s">
        <v>687</v>
      </c>
      <c r="W349" s="306" t="s">
        <v>687</v>
      </c>
      <c r="X349" s="306" t="s">
        <v>687</v>
      </c>
      <c r="Y349" s="356" t="s">
        <v>687</v>
      </c>
      <c r="Z349" s="356" t="s">
        <v>687</v>
      </c>
      <c r="AA349" s="356" t="s">
        <v>687</v>
      </c>
      <c r="AB349" s="356" t="s">
        <v>687</v>
      </c>
      <c r="AC349" s="356" t="s">
        <v>687</v>
      </c>
      <c r="AD349" s="236" t="s">
        <v>687</v>
      </c>
      <c r="AE349" s="236" t="s">
        <v>687</v>
      </c>
      <c r="AF349" s="235"/>
      <c r="AG349" s="334"/>
      <c r="AH349" s="304"/>
    </row>
    <row r="350" spans="1:34" ht="12.75">
      <c r="A350" s="249"/>
      <c r="B350" s="250"/>
      <c r="C350" s="251" t="s">
        <v>956</v>
      </c>
      <c r="D350" s="233"/>
      <c r="E350" s="233"/>
      <c r="F350" s="233"/>
      <c r="G350" s="233"/>
      <c r="H350" s="234"/>
      <c r="I350" s="234"/>
      <c r="J350" s="234"/>
      <c r="K350" s="234"/>
      <c r="L350" s="234"/>
      <c r="M350" s="234"/>
      <c r="N350" s="234"/>
      <c r="O350" s="234">
        <v>14.05</v>
      </c>
      <c r="P350" s="234">
        <v>9.05</v>
      </c>
      <c r="Q350" s="234" t="s">
        <v>687</v>
      </c>
      <c r="R350" s="234" t="s">
        <v>687</v>
      </c>
      <c r="S350" s="234" t="s">
        <v>687</v>
      </c>
      <c r="T350" s="306" t="s">
        <v>687</v>
      </c>
      <c r="U350" s="306" t="s">
        <v>687</v>
      </c>
      <c r="V350" s="306" t="s">
        <v>687</v>
      </c>
      <c r="W350" s="306" t="s">
        <v>687</v>
      </c>
      <c r="X350" s="306" t="s">
        <v>687</v>
      </c>
      <c r="Y350" s="356" t="s">
        <v>687</v>
      </c>
      <c r="Z350" s="356" t="s">
        <v>687</v>
      </c>
      <c r="AA350" s="356" t="s">
        <v>687</v>
      </c>
      <c r="AB350" s="356" t="s">
        <v>687</v>
      </c>
      <c r="AC350" s="356" t="s">
        <v>687</v>
      </c>
      <c r="AD350" s="236" t="s">
        <v>687</v>
      </c>
      <c r="AE350" s="236" t="s">
        <v>687</v>
      </c>
      <c r="AF350" s="235"/>
      <c r="AG350" s="334"/>
      <c r="AH350" s="304"/>
    </row>
    <row r="351" spans="1:34" ht="12.75">
      <c r="A351" s="373"/>
      <c r="B351" s="229"/>
      <c r="C351" s="237" t="s">
        <v>957</v>
      </c>
      <c r="D351" s="230">
        <v>13.9</v>
      </c>
      <c r="E351" s="230">
        <v>13</v>
      </c>
      <c r="F351" s="230">
        <v>17</v>
      </c>
      <c r="G351" s="230">
        <v>16.3</v>
      </c>
      <c r="H351" s="238">
        <v>12</v>
      </c>
      <c r="I351" s="238">
        <v>15</v>
      </c>
      <c r="J351" s="238">
        <v>12</v>
      </c>
      <c r="K351" s="238">
        <v>12.15</v>
      </c>
      <c r="L351" s="238">
        <v>14.7</v>
      </c>
      <c r="M351" s="238">
        <v>16</v>
      </c>
      <c r="N351" s="238">
        <v>11</v>
      </c>
      <c r="O351" s="238">
        <v>14</v>
      </c>
      <c r="P351" s="238">
        <v>17</v>
      </c>
      <c r="Q351" s="238">
        <v>15</v>
      </c>
      <c r="R351" s="238">
        <v>17</v>
      </c>
      <c r="S351" s="215">
        <v>12.4</v>
      </c>
      <c r="T351" s="216">
        <v>13</v>
      </c>
      <c r="U351" s="216">
        <v>15</v>
      </c>
      <c r="V351" s="216">
        <v>10.3</v>
      </c>
      <c r="W351" s="216">
        <v>12</v>
      </c>
      <c r="X351" s="216">
        <v>14.65</v>
      </c>
      <c r="Y351" s="216">
        <v>15</v>
      </c>
      <c r="Z351" s="216">
        <v>11.25</v>
      </c>
      <c r="AA351" s="216">
        <v>12</v>
      </c>
      <c r="AB351" s="216">
        <v>11</v>
      </c>
      <c r="AC351" s="216">
        <v>12.75</v>
      </c>
      <c r="AD351" s="216">
        <v>13.25</v>
      </c>
      <c r="AE351" s="216">
        <v>16</v>
      </c>
      <c r="AF351" s="215"/>
      <c r="AG351" s="333">
        <f aca="true" t="shared" si="11" ref="AG351:AG359">(AE351-AD351)/AD351</f>
        <v>0.20754716981132076</v>
      </c>
      <c r="AH351" s="302"/>
    </row>
    <row r="352" spans="1:34" ht="12.75">
      <c r="A352" s="373"/>
      <c r="B352" s="229"/>
      <c r="C352" s="237" t="s">
        <v>958</v>
      </c>
      <c r="D352" s="230">
        <v>50.5</v>
      </c>
      <c r="E352" s="230">
        <v>66.5</v>
      </c>
      <c r="F352" s="230">
        <v>69.7</v>
      </c>
      <c r="G352" s="230">
        <v>75</v>
      </c>
      <c r="H352" s="238">
        <v>81.25</v>
      </c>
      <c r="I352" s="238">
        <v>84.6</v>
      </c>
      <c r="J352" s="238">
        <v>69.3</v>
      </c>
      <c r="K352" s="238">
        <v>75.55</v>
      </c>
      <c r="L352" s="238">
        <v>80</v>
      </c>
      <c r="M352" s="238">
        <v>83.95</v>
      </c>
      <c r="N352" s="238">
        <v>67.05</v>
      </c>
      <c r="O352" s="238">
        <v>80.3</v>
      </c>
      <c r="P352" s="238">
        <v>68</v>
      </c>
      <c r="Q352" s="238">
        <v>69.75</v>
      </c>
      <c r="R352" s="238">
        <v>72</v>
      </c>
      <c r="S352" s="215">
        <v>75</v>
      </c>
      <c r="T352" s="216">
        <v>77.95</v>
      </c>
      <c r="U352" s="216">
        <v>79</v>
      </c>
      <c r="V352" s="216">
        <v>78.1</v>
      </c>
      <c r="W352" s="216">
        <v>72</v>
      </c>
      <c r="X352" s="216">
        <v>78</v>
      </c>
      <c r="Y352" s="216">
        <v>79.6</v>
      </c>
      <c r="Z352" s="216">
        <v>83.25</v>
      </c>
      <c r="AA352" s="216">
        <v>84.2</v>
      </c>
      <c r="AB352" s="216">
        <v>73.7</v>
      </c>
      <c r="AC352" s="216">
        <v>94.9</v>
      </c>
      <c r="AD352" s="216">
        <v>82.7</v>
      </c>
      <c r="AE352" s="216">
        <v>74.65</v>
      </c>
      <c r="AF352" s="215"/>
      <c r="AG352" s="333">
        <f t="shared" si="11"/>
        <v>-0.09733978234582825</v>
      </c>
      <c r="AH352" s="302"/>
    </row>
    <row r="353" spans="1:34" ht="12.75">
      <c r="A353" s="373"/>
      <c r="B353" s="229"/>
      <c r="C353" s="237" t="s">
        <v>959</v>
      </c>
      <c r="D353" s="230">
        <v>68.75</v>
      </c>
      <c r="E353" s="230">
        <v>70</v>
      </c>
      <c r="F353" s="230">
        <v>78</v>
      </c>
      <c r="G353" s="230">
        <v>70</v>
      </c>
      <c r="H353" s="238">
        <v>67</v>
      </c>
      <c r="I353" s="238">
        <v>72.05</v>
      </c>
      <c r="J353" s="238">
        <v>78</v>
      </c>
      <c r="K353" s="238">
        <v>77.3</v>
      </c>
      <c r="L353" s="238">
        <v>82</v>
      </c>
      <c r="M353" s="238">
        <v>68.25</v>
      </c>
      <c r="N353" s="238">
        <v>56.65</v>
      </c>
      <c r="O353" s="238">
        <v>53.8</v>
      </c>
      <c r="P353" s="238">
        <v>56.25</v>
      </c>
      <c r="Q353" s="238">
        <v>43</v>
      </c>
      <c r="R353" s="238">
        <v>39.4</v>
      </c>
      <c r="S353" s="215">
        <v>44.05</v>
      </c>
      <c r="T353" s="216">
        <v>37</v>
      </c>
      <c r="U353" s="216">
        <v>25.5</v>
      </c>
      <c r="V353" s="216">
        <v>24.6</v>
      </c>
      <c r="W353" s="216">
        <v>27.15</v>
      </c>
      <c r="X353" s="216">
        <v>28.45</v>
      </c>
      <c r="Y353" s="216">
        <v>29</v>
      </c>
      <c r="Z353" s="216">
        <v>26</v>
      </c>
      <c r="AA353" s="216">
        <v>23.5</v>
      </c>
      <c r="AB353" s="216">
        <v>20.75</v>
      </c>
      <c r="AC353" s="216">
        <v>18.1</v>
      </c>
      <c r="AD353" s="216">
        <v>14</v>
      </c>
      <c r="AE353" s="216">
        <v>22</v>
      </c>
      <c r="AF353" s="215"/>
      <c r="AG353" s="333">
        <f t="shared" si="11"/>
        <v>0.5714285714285714</v>
      </c>
      <c r="AH353" s="302"/>
    </row>
    <row r="354" spans="1:34" ht="12.75">
      <c r="A354" s="373"/>
      <c r="B354" s="229"/>
      <c r="C354" s="237" t="s">
        <v>960</v>
      </c>
      <c r="D354" s="230">
        <v>25</v>
      </c>
      <c r="E354" s="230">
        <v>24</v>
      </c>
      <c r="F354" s="230">
        <v>30.55</v>
      </c>
      <c r="G354" s="230">
        <v>36.7</v>
      </c>
      <c r="H354" s="238">
        <v>36.6</v>
      </c>
      <c r="I354" s="238">
        <v>35.8</v>
      </c>
      <c r="J354" s="238">
        <v>35.25</v>
      </c>
      <c r="K354" s="238">
        <v>29.1</v>
      </c>
      <c r="L354" s="238">
        <v>19.5</v>
      </c>
      <c r="M354" s="238">
        <v>16.45</v>
      </c>
      <c r="N354" s="238">
        <v>15.7</v>
      </c>
      <c r="O354" s="238">
        <v>22.8</v>
      </c>
      <c r="P354" s="238">
        <v>22.2</v>
      </c>
      <c r="Q354" s="238">
        <v>21</v>
      </c>
      <c r="R354" s="238">
        <v>16</v>
      </c>
      <c r="S354" s="215">
        <v>15</v>
      </c>
      <c r="T354" s="216">
        <v>17</v>
      </c>
      <c r="U354" s="216">
        <v>11</v>
      </c>
      <c r="V354" s="216">
        <v>12</v>
      </c>
      <c r="W354" s="216">
        <v>10.7</v>
      </c>
      <c r="X354" s="216">
        <v>14</v>
      </c>
      <c r="Y354" s="216">
        <v>11</v>
      </c>
      <c r="Z354" s="216">
        <v>11</v>
      </c>
      <c r="AA354" s="216">
        <v>15</v>
      </c>
      <c r="AB354" s="216">
        <v>15</v>
      </c>
      <c r="AC354" s="216">
        <v>17</v>
      </c>
      <c r="AD354" s="216">
        <v>14</v>
      </c>
      <c r="AE354" s="216">
        <v>11</v>
      </c>
      <c r="AF354" s="215"/>
      <c r="AG354" s="333">
        <f t="shared" si="11"/>
        <v>-0.21428571428571427</v>
      </c>
      <c r="AH354" s="302"/>
    </row>
    <row r="355" spans="1:34" ht="12.75">
      <c r="A355" s="373"/>
      <c r="B355" s="229"/>
      <c r="C355" s="237" t="s">
        <v>961</v>
      </c>
      <c r="D355" s="230">
        <v>16.8</v>
      </c>
      <c r="E355" s="230">
        <v>23.5</v>
      </c>
      <c r="F355" s="230">
        <v>22</v>
      </c>
      <c r="G355" s="230">
        <v>20.2</v>
      </c>
      <c r="H355" s="238">
        <v>24</v>
      </c>
      <c r="I355" s="238">
        <v>26.3</v>
      </c>
      <c r="J355" s="238">
        <v>14</v>
      </c>
      <c r="K355" s="238">
        <v>17</v>
      </c>
      <c r="L355" s="238">
        <v>13.3</v>
      </c>
      <c r="M355" s="238">
        <v>15.95</v>
      </c>
      <c r="N355" s="238">
        <v>15</v>
      </c>
      <c r="O355" s="238">
        <v>12</v>
      </c>
      <c r="P355" s="238">
        <v>15.75</v>
      </c>
      <c r="Q355" s="238">
        <v>14.5</v>
      </c>
      <c r="R355" s="238">
        <v>10</v>
      </c>
      <c r="S355" s="215">
        <v>11</v>
      </c>
      <c r="T355" s="216">
        <v>10</v>
      </c>
      <c r="U355" s="216">
        <v>11.1</v>
      </c>
      <c r="V355" s="216">
        <v>10.8</v>
      </c>
      <c r="W355" s="216">
        <v>13</v>
      </c>
      <c r="X355" s="216">
        <v>12</v>
      </c>
      <c r="Y355" s="216">
        <v>11.25</v>
      </c>
      <c r="Z355" s="216">
        <v>14</v>
      </c>
      <c r="AA355" s="216">
        <v>13</v>
      </c>
      <c r="AB355" s="216">
        <v>17</v>
      </c>
      <c r="AC355" s="216">
        <v>14</v>
      </c>
      <c r="AD355" s="216">
        <v>15</v>
      </c>
      <c r="AE355" s="216">
        <v>13</v>
      </c>
      <c r="AF355" s="215"/>
      <c r="AG355" s="333">
        <f t="shared" si="11"/>
        <v>-0.13333333333333333</v>
      </c>
      <c r="AH355" s="302"/>
    </row>
    <row r="356" spans="1:34" ht="12.75">
      <c r="A356" s="373"/>
      <c r="B356" s="229"/>
      <c r="C356" s="237" t="s">
        <v>962</v>
      </c>
      <c r="D356" s="258">
        <v>58.85</v>
      </c>
      <c r="E356" s="258">
        <v>63.5</v>
      </c>
      <c r="F356" s="258">
        <v>72.85</v>
      </c>
      <c r="G356" s="258">
        <v>76.4</v>
      </c>
      <c r="H356" s="238">
        <v>88.45</v>
      </c>
      <c r="I356" s="238">
        <v>100.5</v>
      </c>
      <c r="J356" s="238">
        <v>85.5</v>
      </c>
      <c r="K356" s="238">
        <v>75.8</v>
      </c>
      <c r="L356" s="238">
        <v>81.4</v>
      </c>
      <c r="M356" s="238">
        <v>83.85</v>
      </c>
      <c r="N356" s="238">
        <v>78.9</v>
      </c>
      <c r="O356" s="238">
        <v>74.25</v>
      </c>
      <c r="P356" s="238">
        <v>59.75</v>
      </c>
      <c r="Q356" s="238">
        <v>74.25</v>
      </c>
      <c r="R356" s="238">
        <v>59</v>
      </c>
      <c r="S356" s="215">
        <v>47</v>
      </c>
      <c r="T356" s="216">
        <v>39</v>
      </c>
      <c r="U356" s="216">
        <v>53.4</v>
      </c>
      <c r="V356" s="216">
        <v>43.5</v>
      </c>
      <c r="W356" s="216">
        <v>54.4</v>
      </c>
      <c r="X356" s="216">
        <v>38.5</v>
      </c>
      <c r="Y356" s="216">
        <v>33.9</v>
      </c>
      <c r="Z356" s="216">
        <v>41.8</v>
      </c>
      <c r="AA356" s="216">
        <v>43</v>
      </c>
      <c r="AB356" s="216">
        <v>48.6</v>
      </c>
      <c r="AC356" s="216">
        <v>49.55</v>
      </c>
      <c r="AD356" s="216">
        <v>53.5</v>
      </c>
      <c r="AE356" s="216">
        <v>48.9</v>
      </c>
      <c r="AF356" s="215"/>
      <c r="AG356" s="333">
        <f t="shared" si="11"/>
        <v>-0.08598130841121499</v>
      </c>
      <c r="AH356" s="302"/>
    </row>
    <row r="357" spans="1:34" ht="12.75">
      <c r="A357" s="373"/>
      <c r="B357" s="229"/>
      <c r="C357" s="237" t="s">
        <v>963</v>
      </c>
      <c r="D357" s="230">
        <v>169.35</v>
      </c>
      <c r="E357" s="230">
        <v>180.15</v>
      </c>
      <c r="F357" s="230">
        <v>181.7</v>
      </c>
      <c r="G357" s="230">
        <v>181.2</v>
      </c>
      <c r="H357" s="238">
        <v>160.85</v>
      </c>
      <c r="I357" s="238">
        <v>164</v>
      </c>
      <c r="J357" s="238">
        <v>129.3</v>
      </c>
      <c r="K357" s="238">
        <v>125.2</v>
      </c>
      <c r="L357" s="238">
        <v>127.45</v>
      </c>
      <c r="M357" s="238">
        <v>118.65</v>
      </c>
      <c r="N357" s="238">
        <v>116.1</v>
      </c>
      <c r="O357" s="238">
        <v>117.05</v>
      </c>
      <c r="P357" s="238">
        <v>101.85</v>
      </c>
      <c r="Q357" s="238">
        <v>103.4</v>
      </c>
      <c r="R357" s="238">
        <v>80.85</v>
      </c>
      <c r="S357" s="215">
        <v>73.5</v>
      </c>
      <c r="T357" s="216">
        <v>67</v>
      </c>
      <c r="U357" s="216">
        <v>48</v>
      </c>
      <c r="V357" s="216">
        <v>44.8</v>
      </c>
      <c r="W357" s="216">
        <v>36</v>
      </c>
      <c r="X357" s="216">
        <v>33.45</v>
      </c>
      <c r="Y357" s="216">
        <v>36.7</v>
      </c>
      <c r="Z357" s="216">
        <v>41</v>
      </c>
      <c r="AA357" s="216">
        <v>43.4</v>
      </c>
      <c r="AB357" s="216">
        <v>36</v>
      </c>
      <c r="AC357" s="216">
        <v>40.05</v>
      </c>
      <c r="AD357" s="216">
        <v>49.15</v>
      </c>
      <c r="AE357" s="216">
        <v>46</v>
      </c>
      <c r="AF357" s="215"/>
      <c r="AG357" s="333">
        <f t="shared" si="11"/>
        <v>-0.06408952187182093</v>
      </c>
      <c r="AH357" s="302"/>
    </row>
    <row r="358" spans="1:34" ht="12.75">
      <c r="A358" s="373"/>
      <c r="B358" s="229"/>
      <c r="C358" s="237" t="s">
        <v>951</v>
      </c>
      <c r="D358" s="230"/>
      <c r="E358" s="230"/>
      <c r="F358" s="230"/>
      <c r="G358" s="230"/>
      <c r="H358" s="238"/>
      <c r="I358" s="238"/>
      <c r="J358" s="238"/>
      <c r="K358" s="238"/>
      <c r="L358" s="238"/>
      <c r="M358" s="238"/>
      <c r="N358" s="238"/>
      <c r="O358" s="238"/>
      <c r="P358" s="238"/>
      <c r="Q358" s="238"/>
      <c r="R358" s="238"/>
      <c r="S358" s="234" t="s">
        <v>687</v>
      </c>
      <c r="T358" s="306" t="s">
        <v>687</v>
      </c>
      <c r="U358" s="306" t="s">
        <v>687</v>
      </c>
      <c r="V358" s="306" t="s">
        <v>687</v>
      </c>
      <c r="W358" s="306" t="s">
        <v>687</v>
      </c>
      <c r="X358" s="306" t="s">
        <v>687</v>
      </c>
      <c r="Y358" s="356" t="s">
        <v>687</v>
      </c>
      <c r="Z358" s="356" t="s">
        <v>687</v>
      </c>
      <c r="AA358" s="356" t="s">
        <v>687</v>
      </c>
      <c r="AB358" s="356" t="s">
        <v>687</v>
      </c>
      <c r="AC358" s="216">
        <v>10</v>
      </c>
      <c r="AD358" s="216">
        <v>12</v>
      </c>
      <c r="AE358" s="216">
        <v>12.3</v>
      </c>
      <c r="AF358" s="215"/>
      <c r="AG358" s="333">
        <f t="shared" si="11"/>
        <v>0.02500000000000006</v>
      </c>
      <c r="AH358" s="302"/>
    </row>
    <row r="359" spans="1:34" ht="12.75">
      <c r="A359" s="373"/>
      <c r="B359" s="229"/>
      <c r="C359" s="237" t="s">
        <v>964</v>
      </c>
      <c r="D359" s="230">
        <v>54.8</v>
      </c>
      <c r="E359" s="230">
        <v>55.6</v>
      </c>
      <c r="F359" s="230">
        <v>60</v>
      </c>
      <c r="G359" s="230">
        <v>62</v>
      </c>
      <c r="H359" s="238">
        <v>69</v>
      </c>
      <c r="I359" s="238">
        <v>65.5</v>
      </c>
      <c r="J359" s="238">
        <v>71</v>
      </c>
      <c r="K359" s="238">
        <v>72.7</v>
      </c>
      <c r="L359" s="238">
        <v>62.9</v>
      </c>
      <c r="M359" s="238">
        <v>57</v>
      </c>
      <c r="N359" s="238">
        <v>46.7</v>
      </c>
      <c r="O359" s="238">
        <v>53.9</v>
      </c>
      <c r="P359" s="238">
        <v>43</v>
      </c>
      <c r="Q359" s="238">
        <v>49.15</v>
      </c>
      <c r="R359" s="238">
        <v>45.35</v>
      </c>
      <c r="S359" s="215">
        <v>41</v>
      </c>
      <c r="T359" s="216">
        <v>39.25</v>
      </c>
      <c r="U359" s="216">
        <v>35</v>
      </c>
      <c r="V359" s="216">
        <v>32.35</v>
      </c>
      <c r="W359" s="216">
        <v>33.75</v>
      </c>
      <c r="X359" s="216">
        <v>32.1</v>
      </c>
      <c r="Y359" s="216">
        <v>30.25</v>
      </c>
      <c r="Z359" s="216">
        <v>26.55</v>
      </c>
      <c r="AA359" s="216">
        <v>37</v>
      </c>
      <c r="AB359" s="216">
        <v>33</v>
      </c>
      <c r="AC359" s="216">
        <v>27.65</v>
      </c>
      <c r="AD359" s="216">
        <v>28.25</v>
      </c>
      <c r="AE359" s="216">
        <v>27.75</v>
      </c>
      <c r="AF359" s="215"/>
      <c r="AG359" s="333">
        <f t="shared" si="11"/>
        <v>-0.017699115044247787</v>
      </c>
      <c r="AH359" s="302"/>
    </row>
    <row r="360" spans="1:34" ht="12.75">
      <c r="A360" s="374"/>
      <c r="B360" s="245"/>
      <c r="C360" s="240"/>
      <c r="D360" s="264"/>
      <c r="E360" s="264"/>
      <c r="F360" s="264"/>
      <c r="G360" s="264"/>
      <c r="H360" s="243"/>
      <c r="I360" s="243"/>
      <c r="J360" s="243"/>
      <c r="K360" s="243"/>
      <c r="L360" s="243"/>
      <c r="M360" s="243"/>
      <c r="N360" s="243"/>
      <c r="O360" s="243"/>
      <c r="P360" s="243"/>
      <c r="Q360" s="243"/>
      <c r="R360" s="243"/>
      <c r="S360" s="243"/>
      <c r="T360" s="243"/>
      <c r="U360" s="243"/>
      <c r="V360" s="243"/>
      <c r="W360" s="243"/>
      <c r="X360" s="243"/>
      <c r="Y360" s="243"/>
      <c r="Z360" s="243"/>
      <c r="AA360" s="243"/>
      <c r="AB360" s="243"/>
      <c r="AC360" s="243"/>
      <c r="AD360" s="243"/>
      <c r="AE360" s="243"/>
      <c r="AF360" s="274">
        <f>SUM(AE348:AE359)</f>
        <v>296.6</v>
      </c>
      <c r="AG360" s="332"/>
      <c r="AH360" s="300"/>
    </row>
    <row r="361" spans="1:34" ht="12.75">
      <c r="A361" s="244" t="s">
        <v>685</v>
      </c>
      <c r="B361" s="229" t="s">
        <v>659</v>
      </c>
      <c r="C361" s="237" t="s">
        <v>1290</v>
      </c>
      <c r="D361" s="258">
        <v>138</v>
      </c>
      <c r="E361" s="258">
        <v>150</v>
      </c>
      <c r="F361" s="258">
        <v>154</v>
      </c>
      <c r="G361" s="258">
        <v>148</v>
      </c>
      <c r="H361" s="238">
        <v>140</v>
      </c>
      <c r="I361" s="238">
        <v>155</v>
      </c>
      <c r="J361" s="238">
        <v>170</v>
      </c>
      <c r="K361" s="238">
        <v>170</v>
      </c>
      <c r="L361" s="238">
        <v>161.4</v>
      </c>
      <c r="M361" s="238">
        <v>155</v>
      </c>
      <c r="N361" s="238">
        <v>175</v>
      </c>
      <c r="O361" s="238">
        <v>197.75</v>
      </c>
      <c r="P361" s="238">
        <v>182.9</v>
      </c>
      <c r="Q361" s="238">
        <v>187.15</v>
      </c>
      <c r="R361" s="238">
        <v>190.9</v>
      </c>
      <c r="S361" s="215">
        <v>198.85</v>
      </c>
      <c r="T361" s="216">
        <v>207.75</v>
      </c>
      <c r="U361" s="216">
        <v>209.55</v>
      </c>
      <c r="V361" s="216">
        <v>206.75</v>
      </c>
      <c r="W361" s="216">
        <v>198.5</v>
      </c>
      <c r="X361" s="216">
        <v>194.85</v>
      </c>
      <c r="Y361" s="216">
        <v>180.65</v>
      </c>
      <c r="Z361" s="216">
        <v>178.1</v>
      </c>
      <c r="AA361" s="216">
        <v>189.45</v>
      </c>
      <c r="AB361" s="216">
        <v>205.75</v>
      </c>
      <c r="AC361" s="216">
        <v>208.5</v>
      </c>
      <c r="AD361" s="216">
        <v>197.8</v>
      </c>
      <c r="AE361" s="216">
        <v>197.8</v>
      </c>
      <c r="AF361" s="215"/>
      <c r="AG361" s="333">
        <f>(AE361-AD361)/AD361</f>
        <v>0</v>
      </c>
      <c r="AH361" s="302"/>
    </row>
    <row r="362" spans="1:34" ht="12.75">
      <c r="A362" s="373"/>
      <c r="B362" s="229"/>
      <c r="C362" s="237" t="s">
        <v>965</v>
      </c>
      <c r="D362" s="230">
        <v>75</v>
      </c>
      <c r="E362" s="230">
        <v>101</v>
      </c>
      <c r="F362" s="230">
        <v>98</v>
      </c>
      <c r="G362" s="230">
        <v>112</v>
      </c>
      <c r="H362" s="238">
        <v>123</v>
      </c>
      <c r="I362" s="238">
        <v>114</v>
      </c>
      <c r="J362" s="238">
        <v>121</v>
      </c>
      <c r="K362" s="238">
        <v>114</v>
      </c>
      <c r="L362" s="238">
        <v>111.65</v>
      </c>
      <c r="M362" s="238">
        <v>107</v>
      </c>
      <c r="N362" s="238">
        <v>102</v>
      </c>
      <c r="O362" s="238">
        <v>103.4</v>
      </c>
      <c r="P362" s="238">
        <v>100.6</v>
      </c>
      <c r="Q362" s="238">
        <v>97.85</v>
      </c>
      <c r="R362" s="238">
        <v>101.5</v>
      </c>
      <c r="S362" s="215">
        <v>101.55</v>
      </c>
      <c r="T362" s="216">
        <v>103.35</v>
      </c>
      <c r="U362" s="216">
        <v>96.75</v>
      </c>
      <c r="V362" s="216">
        <v>101</v>
      </c>
      <c r="W362" s="216">
        <v>112.5</v>
      </c>
      <c r="X362" s="216">
        <v>113.15</v>
      </c>
      <c r="Y362" s="216">
        <v>106.65</v>
      </c>
      <c r="Z362" s="216">
        <v>102.55</v>
      </c>
      <c r="AA362" s="216">
        <v>106.1</v>
      </c>
      <c r="AB362" s="216">
        <v>108.15</v>
      </c>
      <c r="AC362" s="216">
        <v>115.55</v>
      </c>
      <c r="AD362" s="216">
        <v>129.5</v>
      </c>
      <c r="AE362" s="216">
        <v>108.9</v>
      </c>
      <c r="AF362" s="215"/>
      <c r="AG362" s="333">
        <f>(AE362-AD362)/AD362</f>
        <v>-0.15907335907335904</v>
      </c>
      <c r="AH362" s="302"/>
    </row>
    <row r="363" spans="1:34" ht="12.75">
      <c r="A363" s="373"/>
      <c r="B363" s="229"/>
      <c r="C363" s="229" t="s">
        <v>966</v>
      </c>
      <c r="D363" s="258">
        <v>107</v>
      </c>
      <c r="E363" s="258">
        <v>109</v>
      </c>
      <c r="F363" s="258">
        <v>115</v>
      </c>
      <c r="G363" s="258">
        <v>106</v>
      </c>
      <c r="H363" s="255">
        <v>104</v>
      </c>
      <c r="I363" s="255">
        <v>112</v>
      </c>
      <c r="J363" s="255">
        <v>110</v>
      </c>
      <c r="K363" s="255">
        <v>113</v>
      </c>
      <c r="L363" s="255">
        <v>128.9</v>
      </c>
      <c r="M363" s="255">
        <v>136</v>
      </c>
      <c r="N363" s="255">
        <v>143</v>
      </c>
      <c r="O363" s="255">
        <v>144.45</v>
      </c>
      <c r="P363" s="255">
        <v>140.5</v>
      </c>
      <c r="Q363" s="255">
        <v>149.25</v>
      </c>
      <c r="R363" s="255">
        <v>152.75</v>
      </c>
      <c r="S363" s="278">
        <v>145.75</v>
      </c>
      <c r="T363" s="291">
        <v>147.15</v>
      </c>
      <c r="U363" s="291">
        <v>153.75</v>
      </c>
      <c r="V363" s="291">
        <v>137</v>
      </c>
      <c r="W363" s="291">
        <v>137.9</v>
      </c>
      <c r="X363" s="291">
        <v>142.4</v>
      </c>
      <c r="Y363" s="291">
        <v>160.5</v>
      </c>
      <c r="Z363" s="291">
        <v>150.45</v>
      </c>
      <c r="AA363" s="291">
        <v>142.95</v>
      </c>
      <c r="AB363" s="291">
        <v>139.75</v>
      </c>
      <c r="AC363" s="291">
        <v>132.4</v>
      </c>
      <c r="AD363" s="291">
        <v>143.45</v>
      </c>
      <c r="AE363" s="291">
        <v>125.6</v>
      </c>
      <c r="AF363" s="278"/>
      <c r="AG363" s="333">
        <f>(AE363-AD363)/AD363</f>
        <v>-0.12443360055768557</v>
      </c>
      <c r="AH363" s="302"/>
    </row>
    <row r="364" spans="1:34" ht="12.75">
      <c r="A364" s="373"/>
      <c r="B364" s="444"/>
      <c r="C364" s="444"/>
      <c r="D364" s="445"/>
      <c r="E364" s="445"/>
      <c r="F364" s="445"/>
      <c r="G364" s="445"/>
      <c r="H364" s="446"/>
      <c r="I364" s="446"/>
      <c r="J364" s="446"/>
      <c r="K364" s="446"/>
      <c r="L364" s="446"/>
      <c r="M364" s="446"/>
      <c r="N364" s="446"/>
      <c r="O364" s="446"/>
      <c r="P364" s="446"/>
      <c r="Q364" s="446"/>
      <c r="R364" s="446"/>
      <c r="S364" s="443"/>
      <c r="T364" s="447"/>
      <c r="U364" s="447"/>
      <c r="V364" s="447"/>
      <c r="W364" s="447"/>
      <c r="X364" s="447"/>
      <c r="Y364" s="447"/>
      <c r="Z364" s="447"/>
      <c r="AA364" s="447"/>
      <c r="AB364" s="447"/>
      <c r="AC364" s="447"/>
      <c r="AD364" s="447"/>
      <c r="AE364" s="447"/>
      <c r="AF364" s="443">
        <f>SUM(AE361:AE363)</f>
        <v>432.30000000000007</v>
      </c>
      <c r="AG364" s="448"/>
      <c r="AH364" s="449"/>
    </row>
    <row r="365" spans="1:34" ht="12.75">
      <c r="A365" s="450"/>
      <c r="B365" s="451"/>
      <c r="C365" s="451"/>
      <c r="D365" s="452">
        <f aca="true" t="shared" si="12" ref="D365:P365">SUM(D6:D363)-D27</f>
        <v>110842.18500000004</v>
      </c>
      <c r="E365" s="452">
        <f t="shared" si="12"/>
        <v>118023.56999999993</v>
      </c>
      <c r="F365" s="452">
        <f t="shared" si="12"/>
        <v>122456.22999999994</v>
      </c>
      <c r="G365" s="452">
        <f t="shared" si="12"/>
        <v>124463.91000000006</v>
      </c>
      <c r="H365" s="452">
        <f t="shared" si="12"/>
        <v>125771.44999999998</v>
      </c>
      <c r="I365" s="452">
        <f t="shared" si="12"/>
        <v>127969.88999999998</v>
      </c>
      <c r="J365" s="452">
        <f t="shared" si="12"/>
        <v>131321.64999999997</v>
      </c>
      <c r="K365" s="452">
        <f t="shared" si="12"/>
        <v>133312.79999999987</v>
      </c>
      <c r="L365" s="452">
        <f t="shared" si="12"/>
        <v>127416.71000000008</v>
      </c>
      <c r="M365" s="452">
        <f t="shared" si="12"/>
        <v>134985.43</v>
      </c>
      <c r="N365" s="452">
        <f t="shared" si="12"/>
        <v>134683.08000000007</v>
      </c>
      <c r="O365" s="452">
        <f t="shared" si="12"/>
        <v>135400.61999999994</v>
      </c>
      <c r="P365" s="452">
        <f t="shared" si="12"/>
        <v>135277.45</v>
      </c>
      <c r="Q365" s="452">
        <f aca="true" t="shared" si="13" ref="Q365:V365">SUM(Q6:Q363)</f>
        <v>133633.52999999997</v>
      </c>
      <c r="R365" s="452">
        <f t="shared" si="13"/>
        <v>122522.13000000006</v>
      </c>
      <c r="S365" s="452">
        <f t="shared" si="13"/>
        <v>120292.08000000003</v>
      </c>
      <c r="T365" s="358">
        <f t="shared" si="13"/>
        <v>121411.86000000004</v>
      </c>
      <c r="U365" s="358">
        <f t="shared" si="13"/>
        <v>117975.66999999998</v>
      </c>
      <c r="V365" s="358">
        <f t="shared" si="13"/>
        <v>117040.65000000011</v>
      </c>
      <c r="W365" s="358">
        <f aca="true" t="shared" si="14" ref="W365:AB365">SUM(W7:W363)</f>
        <v>117743.06999999992</v>
      </c>
      <c r="X365" s="358">
        <f t="shared" si="14"/>
        <v>114955.73999999992</v>
      </c>
      <c r="Y365" s="358">
        <f t="shared" si="14"/>
        <v>114561.26999999997</v>
      </c>
      <c r="Z365" s="358">
        <f t="shared" si="14"/>
        <v>114345.84100000004</v>
      </c>
      <c r="AA365" s="358">
        <f t="shared" si="14"/>
        <v>113259.97999999998</v>
      </c>
      <c r="AB365" s="358">
        <f t="shared" si="14"/>
        <v>113010.36000000002</v>
      </c>
      <c r="AC365" s="358">
        <f>SUM(AD7:AD363)</f>
        <v>113664.14000000001</v>
      </c>
      <c r="AD365" s="358">
        <f>SUM(AD7:AD363)</f>
        <v>113664.14000000001</v>
      </c>
      <c r="AE365" s="358"/>
      <c r="AF365" s="453"/>
      <c r="AG365" s="454">
        <f>(AE365-AD365)/AD365</f>
        <v>-1</v>
      </c>
      <c r="AH365" s="455"/>
    </row>
    <row r="366" spans="1:34" ht="12.75">
      <c r="A366" s="373"/>
      <c r="B366" s="280"/>
      <c r="C366" s="280"/>
      <c r="D366" s="230"/>
      <c r="E366" s="230"/>
      <c r="F366" s="230"/>
      <c r="G366" s="230"/>
      <c r="H366" s="230"/>
      <c r="I366" s="258"/>
      <c r="J366" s="258"/>
      <c r="K366" s="258"/>
      <c r="L366" s="258"/>
      <c r="M366" s="258"/>
      <c r="N366" s="258"/>
      <c r="O366" s="258"/>
      <c r="P366" s="258"/>
      <c r="Q366" s="258"/>
      <c r="R366" s="258"/>
      <c r="S366" s="278"/>
      <c r="T366" s="291"/>
      <c r="U366" s="291"/>
      <c r="V366" s="291"/>
      <c r="W366" s="291"/>
      <c r="X366" s="291"/>
      <c r="Y366" s="291"/>
      <c r="Z366" s="291"/>
      <c r="AA366" s="291"/>
      <c r="AB366" s="291"/>
      <c r="AC366" s="291"/>
      <c r="AD366" s="291"/>
      <c r="AE366" s="291"/>
      <c r="AF366" s="278"/>
      <c r="AG366" s="333"/>
      <c r="AH366" s="302"/>
    </row>
    <row r="367" spans="1:34" ht="12.75">
      <c r="A367" s="373"/>
      <c r="B367" s="280"/>
      <c r="C367" s="280"/>
      <c r="D367" s="230"/>
      <c r="E367" s="230"/>
      <c r="F367" s="230"/>
      <c r="G367" s="230"/>
      <c r="H367" s="230"/>
      <c r="I367" s="258"/>
      <c r="J367" s="258"/>
      <c r="K367" s="258"/>
      <c r="L367" s="258"/>
      <c r="M367" s="258"/>
      <c r="N367" s="258"/>
      <c r="O367" s="258"/>
      <c r="P367" s="258"/>
      <c r="Q367" s="258"/>
      <c r="R367" s="258"/>
      <c r="S367" s="278"/>
      <c r="T367" s="291"/>
      <c r="U367" s="291"/>
      <c r="V367" s="291"/>
      <c r="W367" s="291"/>
      <c r="X367" s="291"/>
      <c r="Y367" s="291"/>
      <c r="Z367" s="291"/>
      <c r="AA367" s="291"/>
      <c r="AB367" s="291"/>
      <c r="AC367" s="291"/>
      <c r="AD367" s="291"/>
      <c r="AE367" s="291"/>
      <c r="AF367" s="278"/>
      <c r="AG367" s="333"/>
      <c r="AH367" s="302"/>
    </row>
    <row r="368" spans="1:34" ht="12.75">
      <c r="A368" s="373"/>
      <c r="B368" s="280"/>
      <c r="C368" s="280"/>
      <c r="D368" s="230"/>
      <c r="E368" s="230"/>
      <c r="F368" s="230"/>
      <c r="G368" s="230"/>
      <c r="H368" s="230"/>
      <c r="I368" s="230"/>
      <c r="J368" s="258"/>
      <c r="K368" s="258"/>
      <c r="L368" s="258"/>
      <c r="M368" s="258"/>
      <c r="N368" s="258"/>
      <c r="O368" s="258"/>
      <c r="P368" s="258"/>
      <c r="Q368" s="258"/>
      <c r="R368" s="258"/>
      <c r="S368" s="278"/>
      <c r="T368" s="291"/>
      <c r="U368" s="291"/>
      <c r="V368" s="291"/>
      <c r="W368" s="291"/>
      <c r="X368" s="291"/>
      <c r="Y368" s="291"/>
      <c r="Z368" s="291"/>
      <c r="AA368" s="291"/>
      <c r="AB368" s="291"/>
      <c r="AC368" s="291"/>
      <c r="AD368" s="291"/>
      <c r="AE368" s="291"/>
      <c r="AF368" s="278"/>
      <c r="AG368" s="333"/>
      <c r="AH368" s="302"/>
    </row>
    <row r="369" spans="1:34" ht="12.75">
      <c r="A369" s="373"/>
      <c r="B369" s="280"/>
      <c r="C369" s="280"/>
      <c r="D369" s="230"/>
      <c r="E369" s="230"/>
      <c r="F369" s="230"/>
      <c r="G369" s="230"/>
      <c r="H369" s="230"/>
      <c r="I369" s="362"/>
      <c r="J369" s="258"/>
      <c r="K369" s="258"/>
      <c r="L369" s="258"/>
      <c r="M369" s="258">
        <f aca="true" t="shared" si="15" ref="M369:S369">M365-M367</f>
        <v>134985.43</v>
      </c>
      <c r="N369" s="258">
        <f t="shared" si="15"/>
        <v>134683.08000000007</v>
      </c>
      <c r="O369" s="258">
        <f t="shared" si="15"/>
        <v>135400.61999999994</v>
      </c>
      <c r="P369" s="258">
        <f t="shared" si="15"/>
        <v>135277.45</v>
      </c>
      <c r="Q369" s="258">
        <f t="shared" si="15"/>
        <v>133633.52999999997</v>
      </c>
      <c r="R369" s="258">
        <f t="shared" si="15"/>
        <v>122522.13000000006</v>
      </c>
      <c r="S369" s="258">
        <f t="shared" si="15"/>
        <v>120292.08000000003</v>
      </c>
      <c r="T369" s="310">
        <f>T365-T367</f>
        <v>121411.86000000004</v>
      </c>
      <c r="U369" s="310"/>
      <c r="V369" s="310"/>
      <c r="W369" s="310"/>
      <c r="X369" s="310"/>
      <c r="Y369" s="310"/>
      <c r="Z369" s="310"/>
      <c r="AA369" s="310"/>
      <c r="AB369" s="310"/>
      <c r="AC369" s="310"/>
      <c r="AD369" s="310"/>
      <c r="AE369" s="310"/>
      <c r="AF369" s="278"/>
      <c r="AG369" s="333"/>
      <c r="AH369" s="302"/>
    </row>
    <row r="370" spans="1:34" ht="12.75">
      <c r="A370" s="373"/>
      <c r="B370" s="280"/>
      <c r="C370" s="280"/>
      <c r="D370" s="230"/>
      <c r="E370" s="230"/>
      <c r="F370" s="230"/>
      <c r="G370" s="230"/>
      <c r="H370" s="230"/>
      <c r="I370" s="362"/>
      <c r="J370" s="258"/>
      <c r="K370" s="258"/>
      <c r="L370" s="258"/>
      <c r="M370" s="258"/>
      <c r="N370" s="258"/>
      <c r="O370" s="258"/>
      <c r="P370" s="258"/>
      <c r="Q370" s="258"/>
      <c r="R370" s="258"/>
      <c r="S370" s="278"/>
      <c r="T370" s="291"/>
      <c r="U370" s="291"/>
      <c r="V370" s="291"/>
      <c r="W370" s="291"/>
      <c r="X370" s="291"/>
      <c r="Y370" s="291"/>
      <c r="Z370" s="291"/>
      <c r="AA370" s="291"/>
      <c r="AB370" s="291"/>
      <c r="AC370" s="291"/>
      <c r="AD370" s="291"/>
      <c r="AE370" s="291"/>
      <c r="AF370" s="278"/>
      <c r="AG370" s="333"/>
      <c r="AH370" s="302"/>
    </row>
  </sheetData>
  <sheetProtection sheet="1"/>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Kito, Sam S</dc:creator>
  <cp:keywords/>
  <dc:description/>
  <cp:lastModifiedBy>Weed, Lori (EED)</cp:lastModifiedBy>
  <cp:lastPrinted>2018-04-12T00:21:58Z</cp:lastPrinted>
  <dcterms:created xsi:type="dcterms:W3CDTF">1998-11-03T00:43:47Z</dcterms:created>
  <dcterms:modified xsi:type="dcterms:W3CDTF">2018-04-24T17:11:25Z</dcterms:modified>
  <cp:category/>
  <cp:version/>
  <cp:contentType/>
  <cp:contentStatus/>
</cp:coreProperties>
</file>